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5000" windowHeight="7800"/>
  </bookViews>
  <sheets>
    <sheet name="Monte Carlo Data" sheetId="1" r:id="rId1"/>
    <sheet name="Flow Meters" sheetId="5" r:id="rId2"/>
  </sheets>
  <calcPr calcId="145621"/>
</workbook>
</file>

<file path=xl/calcChain.xml><?xml version="1.0" encoding="utf-8"?>
<calcChain xmlns="http://schemas.openxmlformats.org/spreadsheetml/2006/main">
  <c r="J28" i="5" l="1"/>
  <c r="J6" i="5" l="1"/>
  <c r="J5" i="5"/>
  <c r="J4" i="5"/>
  <c r="J3" i="5"/>
  <c r="G7" i="5"/>
  <c r="G6" i="5"/>
  <c r="G5" i="5"/>
  <c r="G4" i="5"/>
  <c r="M35" i="5" l="1"/>
  <c r="M36" i="5" s="1"/>
  <c r="N36" i="5" s="1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29" i="5"/>
  <c r="N21" i="5" l="1"/>
  <c r="N20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9" i="5"/>
  <c r="H5" i="5"/>
  <c r="H6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M38" i="5" l="1"/>
  <c r="M37" i="5"/>
  <c r="N26" i="5" l="1"/>
  <c r="N25" i="5"/>
  <c r="T11" i="5" a="1"/>
  <c r="U15" i="5" s="1"/>
  <c r="C7" i="5"/>
  <c r="B7" i="5"/>
  <c r="E11" i="5" s="1"/>
  <c r="F11" i="5" s="1"/>
  <c r="C6" i="5"/>
  <c r="B6" i="5"/>
  <c r="E5" i="5"/>
  <c r="B5" i="5"/>
  <c r="E9" i="5" l="1"/>
  <c r="F9" i="5" s="1"/>
  <c r="E46" i="5"/>
  <c r="F46" i="5" s="1"/>
  <c r="E44" i="5"/>
  <c r="F44" i="5" s="1"/>
  <c r="E42" i="5"/>
  <c r="F42" i="5" s="1"/>
  <c r="E40" i="5"/>
  <c r="F40" i="5" s="1"/>
  <c r="E38" i="5"/>
  <c r="F38" i="5" s="1"/>
  <c r="E36" i="5"/>
  <c r="F36" i="5" s="1"/>
  <c r="E34" i="5"/>
  <c r="F34" i="5" s="1"/>
  <c r="E32" i="5"/>
  <c r="F32" i="5" s="1"/>
  <c r="E30" i="5"/>
  <c r="F30" i="5" s="1"/>
  <c r="E28" i="5"/>
  <c r="F28" i="5" s="1"/>
  <c r="E23" i="5"/>
  <c r="F23" i="5" s="1"/>
  <c r="E19" i="5"/>
  <c r="F19" i="5" s="1"/>
  <c r="E17" i="5"/>
  <c r="F17" i="5" s="1"/>
  <c r="E15" i="5"/>
  <c r="F15" i="5" s="1"/>
  <c r="E47" i="5"/>
  <c r="F47" i="5" s="1"/>
  <c r="E45" i="5"/>
  <c r="F45" i="5" s="1"/>
  <c r="E43" i="5"/>
  <c r="F43" i="5" s="1"/>
  <c r="E41" i="5"/>
  <c r="F41" i="5" s="1"/>
  <c r="E39" i="5"/>
  <c r="F39" i="5" s="1"/>
  <c r="E37" i="5"/>
  <c r="F37" i="5" s="1"/>
  <c r="E35" i="5"/>
  <c r="F35" i="5" s="1"/>
  <c r="E33" i="5"/>
  <c r="F33" i="5" s="1"/>
  <c r="E31" i="5"/>
  <c r="F31" i="5" s="1"/>
  <c r="E29" i="5"/>
  <c r="F29" i="5" s="1"/>
  <c r="E27" i="5"/>
  <c r="F27" i="5" s="1"/>
  <c r="E26" i="5"/>
  <c r="F26" i="5" s="1"/>
  <c r="E10" i="5"/>
  <c r="F10" i="5" s="1"/>
  <c r="T11" i="5"/>
  <c r="T12" i="5"/>
  <c r="T13" i="5"/>
  <c r="T14" i="5"/>
  <c r="T15" i="5"/>
  <c r="E13" i="5"/>
  <c r="F13" i="5" s="1"/>
  <c r="E16" i="5"/>
  <c r="F16" i="5" s="1"/>
  <c r="E20" i="5"/>
  <c r="F20" i="5" s="1"/>
  <c r="E22" i="5"/>
  <c r="F22" i="5" s="1"/>
  <c r="E25" i="5"/>
  <c r="F25" i="5" s="1"/>
  <c r="U11" i="5"/>
  <c r="U12" i="5"/>
  <c r="U13" i="5"/>
  <c r="U14" i="5"/>
  <c r="E12" i="5"/>
  <c r="F12" i="5" s="1"/>
  <c r="E14" i="5"/>
  <c r="F14" i="5" s="1"/>
  <c r="E18" i="5"/>
  <c r="F18" i="5" s="1"/>
  <c r="E21" i="5"/>
  <c r="F21" i="5" s="1"/>
  <c r="E24" i="5"/>
  <c r="F24" i="5" s="1"/>
  <c r="I47" i="5" l="1"/>
  <c r="I45" i="5"/>
  <c r="I43" i="5"/>
  <c r="I41" i="5"/>
  <c r="I39" i="5"/>
  <c r="I37" i="5"/>
  <c r="I35" i="5"/>
  <c r="I33" i="5"/>
  <c r="I31" i="5"/>
  <c r="I29" i="5"/>
  <c r="I27" i="5"/>
  <c r="I26" i="5"/>
  <c r="I25" i="5"/>
  <c r="I24" i="5"/>
  <c r="I22" i="5"/>
  <c r="I21" i="5"/>
  <c r="I20" i="5"/>
  <c r="I18" i="5"/>
  <c r="I16" i="5"/>
  <c r="I46" i="5"/>
  <c r="I44" i="5"/>
  <c r="I42" i="5"/>
  <c r="I40" i="5"/>
  <c r="I38" i="5"/>
  <c r="I36" i="5"/>
  <c r="I34" i="5"/>
  <c r="I32" i="5"/>
  <c r="I30" i="5"/>
  <c r="I28" i="5"/>
  <c r="I19" i="5"/>
  <c r="I15" i="5"/>
  <c r="I13" i="5"/>
  <c r="I23" i="5"/>
  <c r="I17" i="5"/>
  <c r="I14" i="5"/>
  <c r="I12" i="5"/>
  <c r="I11" i="5"/>
  <c r="I9" i="5"/>
  <c r="I10" i="5"/>
  <c r="D47" i="5"/>
  <c r="D45" i="5"/>
  <c r="D43" i="5"/>
  <c r="D41" i="5"/>
  <c r="D39" i="5"/>
  <c r="D37" i="5"/>
  <c r="D35" i="5"/>
  <c r="D33" i="5"/>
  <c r="D31" i="5"/>
  <c r="D29" i="5"/>
  <c r="D27" i="5"/>
  <c r="D26" i="5"/>
  <c r="D25" i="5"/>
  <c r="D24" i="5"/>
  <c r="D22" i="5"/>
  <c r="D21" i="5"/>
  <c r="D20" i="5"/>
  <c r="D18" i="5"/>
  <c r="D16" i="5"/>
  <c r="D46" i="5"/>
  <c r="D44" i="5"/>
  <c r="D42" i="5"/>
  <c r="D40" i="5"/>
  <c r="D38" i="5"/>
  <c r="D36" i="5"/>
  <c r="D34" i="5"/>
  <c r="D32" i="5"/>
  <c r="D30" i="5"/>
  <c r="D28" i="5"/>
  <c r="D19" i="5"/>
  <c r="D15" i="5"/>
  <c r="D13" i="5"/>
  <c r="D23" i="5"/>
  <c r="D17" i="5"/>
  <c r="D14" i="5"/>
  <c r="D12" i="5"/>
  <c r="D11" i="5"/>
  <c r="D9" i="5"/>
  <c r="D10" i="5"/>
  <c r="N24" i="5" l="1"/>
  <c r="D6" i="5"/>
  <c r="G9" i="5"/>
  <c r="D7" i="5"/>
  <c r="G10" i="5" s="1"/>
  <c r="G12" i="5"/>
  <c r="G17" i="5"/>
  <c r="G13" i="5"/>
  <c r="G19" i="5"/>
  <c r="G30" i="5"/>
  <c r="G34" i="5"/>
  <c r="G38" i="5"/>
  <c r="G42" i="5"/>
  <c r="G46" i="5"/>
  <c r="G18" i="5"/>
  <c r="G21" i="5"/>
  <c r="G24" i="5"/>
  <c r="G26" i="5"/>
  <c r="G29" i="5"/>
  <c r="G33" i="5"/>
  <c r="G37" i="5"/>
  <c r="G41" i="5"/>
  <c r="G45" i="5"/>
  <c r="G47" i="5" l="1"/>
  <c r="G39" i="5"/>
  <c r="G31" i="5"/>
  <c r="G25" i="5"/>
  <c r="G20" i="5"/>
  <c r="G44" i="5"/>
  <c r="G36" i="5"/>
  <c r="G28" i="5"/>
  <c r="G23" i="5"/>
  <c r="G11" i="5"/>
  <c r="G43" i="5"/>
  <c r="G35" i="5"/>
  <c r="G27" i="5"/>
  <c r="G22" i="5"/>
  <c r="G16" i="5"/>
  <c r="G40" i="5"/>
  <c r="G32" i="5"/>
  <c r="G15" i="5"/>
  <c r="G14" i="5"/>
  <c r="K6" i="1" l="1"/>
  <c r="K5" i="1" l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10" i="1"/>
  <c r="C8" i="1" l="1"/>
  <c r="G8" i="1"/>
  <c r="G7" i="1"/>
  <c r="H11" i="1" s="1"/>
  <c r="C7" i="1"/>
  <c r="D57" i="1" s="1"/>
  <c r="G6" i="1"/>
  <c r="G4" i="1"/>
  <c r="C4" i="1"/>
  <c r="C6" i="1"/>
  <c r="K20" i="1" l="1"/>
  <c r="K21" i="1"/>
  <c r="D14" i="1"/>
  <c r="D18" i="1"/>
  <c r="D22" i="1"/>
  <c r="D26" i="1"/>
  <c r="D30" i="1"/>
  <c r="D34" i="1"/>
  <c r="D38" i="1"/>
  <c r="D42" i="1"/>
  <c r="D46" i="1"/>
  <c r="D50" i="1"/>
  <c r="D54" i="1"/>
  <c r="D58" i="1"/>
  <c r="D11" i="1"/>
  <c r="D15" i="1"/>
  <c r="D19" i="1"/>
  <c r="D23" i="1"/>
  <c r="D27" i="1"/>
  <c r="D31" i="1"/>
  <c r="D35" i="1"/>
  <c r="D39" i="1"/>
  <c r="D43" i="1"/>
  <c r="D47" i="1"/>
  <c r="D51" i="1"/>
  <c r="D55" i="1"/>
  <c r="D12" i="1"/>
  <c r="D16" i="1"/>
  <c r="D20" i="1"/>
  <c r="D24" i="1"/>
  <c r="D28" i="1"/>
  <c r="D32" i="1"/>
  <c r="D36" i="1"/>
  <c r="D40" i="1"/>
  <c r="D44" i="1"/>
  <c r="D48" i="1"/>
  <c r="D52" i="1"/>
  <c r="D56" i="1"/>
  <c r="D59" i="1"/>
  <c r="D13" i="1"/>
  <c r="D17" i="1"/>
  <c r="D21" i="1"/>
  <c r="D25" i="1"/>
  <c r="D29" i="1"/>
  <c r="D33" i="1"/>
  <c r="D37" i="1"/>
  <c r="D41" i="1"/>
  <c r="D45" i="1"/>
  <c r="D49" i="1"/>
  <c r="D53" i="1"/>
  <c r="D10" i="1"/>
  <c r="H56" i="1"/>
  <c r="H52" i="1"/>
  <c r="H48" i="1"/>
  <c r="H44" i="1"/>
  <c r="H40" i="1"/>
  <c r="H36" i="1"/>
  <c r="H32" i="1"/>
  <c r="H28" i="1"/>
  <c r="H24" i="1"/>
  <c r="H20" i="1"/>
  <c r="H16" i="1"/>
  <c r="H12" i="1"/>
  <c r="H57" i="1"/>
  <c r="H53" i="1"/>
  <c r="H49" i="1"/>
  <c r="H45" i="1"/>
  <c r="H41" i="1"/>
  <c r="H37" i="1"/>
  <c r="H33" i="1"/>
  <c r="H29" i="1"/>
  <c r="H25" i="1"/>
  <c r="H21" i="1"/>
  <c r="H17" i="1"/>
  <c r="H13" i="1"/>
  <c r="H58" i="1"/>
  <c r="H54" i="1"/>
  <c r="H50" i="1"/>
  <c r="H46" i="1"/>
  <c r="H42" i="1"/>
  <c r="H38" i="1"/>
  <c r="H34" i="1"/>
  <c r="H30" i="1"/>
  <c r="H26" i="1"/>
  <c r="H22" i="1"/>
  <c r="H18" i="1"/>
  <c r="H14" i="1"/>
  <c r="H59" i="1"/>
  <c r="H55" i="1"/>
  <c r="H51" i="1"/>
  <c r="H47" i="1"/>
  <c r="H43" i="1"/>
  <c r="H39" i="1"/>
  <c r="H35" i="1"/>
  <c r="H31" i="1"/>
  <c r="H27" i="1"/>
  <c r="H23" i="1"/>
  <c r="H19" i="1"/>
  <c r="H15" i="1"/>
  <c r="H10" i="1"/>
  <c r="K4" i="1"/>
  <c r="H8" i="1" l="1"/>
  <c r="H6" i="1"/>
  <c r="D8" i="1"/>
  <c r="D6" i="1"/>
  <c r="K18" i="1" l="1"/>
  <c r="K19" i="1" s="1"/>
</calcChain>
</file>

<file path=xl/sharedStrings.xml><?xml version="1.0" encoding="utf-8"?>
<sst xmlns="http://schemas.openxmlformats.org/spreadsheetml/2006/main" count="97" uniqueCount="74">
  <si>
    <t>Group 1:</t>
  </si>
  <si>
    <t>Input standard deviation =</t>
  </si>
  <si>
    <t>i</t>
  </si>
  <si>
    <t>yi</t>
  </si>
  <si>
    <t>Calculated variance =</t>
  </si>
  <si>
    <t>Group 2:</t>
  </si>
  <si>
    <t xml:space="preserve">n1 = </t>
  </si>
  <si>
    <t xml:space="preserve">n2 = </t>
  </si>
  <si>
    <t>Bartlett T =</t>
  </si>
  <si>
    <t>critical value =</t>
  </si>
  <si>
    <r>
      <t>(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 xml:space="preserve"> = 0.05)</t>
    </r>
  </si>
  <si>
    <r>
      <t>(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 xml:space="preserve"> = 0.01)</t>
    </r>
  </si>
  <si>
    <t>Pressure and Weight in Cryogenic Flow Meters</t>
  </si>
  <si>
    <t>Reference: Technometrics, Vol. 19(4), p353-379 (1977).</t>
  </si>
  <si>
    <t>Syntax:  LINEST(known_y's, [known_x's], [const], [stats])</t>
  </si>
  <si>
    <t>X = Temperature of the liquid nitorgen at the flow meter (K)</t>
  </si>
  <si>
    <r>
      <t xml:space="preserve">If </t>
    </r>
    <r>
      <rPr>
        <b/>
        <i/>
        <sz val="10"/>
        <color rgb="FF454545"/>
        <rFont val="Arial"/>
        <family val="2"/>
      </rPr>
      <t>const</t>
    </r>
    <r>
      <rPr>
        <sz val="10"/>
        <color rgb="FF454545"/>
        <rFont val="Arial"/>
        <family val="2"/>
      </rPr>
      <t xml:space="preserve"> is FALSE, intercept is set equal to 0 and the slopes are adjusted to fit y = mx</t>
    </r>
  </si>
  <si>
    <r>
      <t xml:space="preserve">If </t>
    </r>
    <r>
      <rPr>
        <b/>
        <i/>
        <sz val="10"/>
        <color rgb="FF454545"/>
        <rFont val="Arial"/>
        <family val="2"/>
      </rPr>
      <t>stats</t>
    </r>
    <r>
      <rPr>
        <sz val="10"/>
        <color rgb="FF454545"/>
        <rFont val="Arial"/>
        <family val="2"/>
      </rPr>
      <t xml:space="preserve"> is TRUE, </t>
    </r>
    <r>
      <rPr>
        <b/>
        <sz val="10"/>
        <color rgb="FF454545"/>
        <rFont val="Arial"/>
        <family val="2"/>
      </rPr>
      <t>LINEST</t>
    </r>
    <r>
      <rPr>
        <sz val="10"/>
        <color rgb="FF454545"/>
        <rFont val="Arial"/>
        <family val="2"/>
      </rPr>
      <t xml:space="preserve"> returns the additional regression statistics</t>
    </r>
  </si>
  <si>
    <t>n =</t>
  </si>
  <si>
    <r>
      <t>Output:  {mn,mn-1,...,m1,b;sen,sen-1,...,se1,seb;r2,sey;F,df;ssreg,ssresid}</t>
    </r>
    <r>
      <rPr>
        <sz val="10"/>
        <color rgb="FF454545"/>
        <rFont val="Arial"/>
        <family val="2"/>
      </rPr>
      <t>.</t>
    </r>
  </si>
  <si>
    <t>mean =</t>
  </si>
  <si>
    <t>Select two columns and five rows starting with the formula cell.</t>
  </si>
  <si>
    <t>Std Dev =</t>
  </si>
  <si>
    <t>Press F2, and then press CTRL+SHIFT+ENTER</t>
  </si>
  <si>
    <t>X</t>
  </si>
  <si>
    <t>Y</t>
  </si>
  <si>
    <t>Residual</t>
  </si>
  <si>
    <t>leverage</t>
  </si>
  <si>
    <t>lev*n/p</t>
  </si>
  <si>
    <t>isr</t>
  </si>
  <si>
    <t>Y-hat</t>
  </si>
  <si>
    <t>LINEST Results</t>
  </si>
  <si>
    <t>Legend</t>
  </si>
  <si>
    <t>se-b1</t>
  </si>
  <si>
    <t>b1</t>
  </si>
  <si>
    <t>b0</t>
  </si>
  <si>
    <t>se-b0</t>
  </si>
  <si>
    <t>R2</t>
  </si>
  <si>
    <t>sey</t>
  </si>
  <si>
    <t>F-overall</t>
  </si>
  <si>
    <t>df</t>
  </si>
  <si>
    <t>ssreg</t>
  </si>
  <si>
    <t>ssresid</t>
  </si>
  <si>
    <t>group 1 StDev =</t>
  </si>
  <si>
    <t>group 2 StDev =</t>
  </si>
  <si>
    <t>Y = Percent Weight Difference</t>
  </si>
  <si>
    <t>Conclusion:  The Bartlett T is greater than the critical value.</t>
  </si>
  <si>
    <t>We can reject the Null Hypothesis that the two variances are equal.</t>
  </si>
  <si>
    <t>Note:  The Bartlett test assumies normality.  The two large residuals are both in the upper</t>
  </si>
  <si>
    <t>median =</t>
  </si>
  <si>
    <t>di1</t>
  </si>
  <si>
    <t>di2</t>
  </si>
  <si>
    <t>Brown-Forsythe Test</t>
  </si>
  <si>
    <t>pooled variance =</t>
  </si>
  <si>
    <t>B-F t =</t>
  </si>
  <si>
    <t>critical t =</t>
  </si>
  <si>
    <t>Bartlett and Brown-Forsythe Tests</t>
  </si>
  <si>
    <t>Create two equal size normally distributed data sets, then check to see if there is enough information to claim the groups have different variances</t>
  </si>
  <si>
    <t>di</t>
  </si>
  <si>
    <t>median1 =</t>
  </si>
  <si>
    <t>median2 =</t>
  </si>
  <si>
    <t>var1 =</t>
  </si>
  <si>
    <t>var2 =</t>
  </si>
  <si>
    <t>mean1 =</t>
  </si>
  <si>
    <t>mean2 =</t>
  </si>
  <si>
    <t>Conclusion:  The Brown-Forsythe t is less than the critical value.</t>
  </si>
  <si>
    <t>We cannot reject the null hypothesis that the variance is constant.</t>
  </si>
  <si>
    <t xml:space="preserve">Since this test is not sensitive to distribution, it is not sensitive to </t>
  </si>
  <si>
    <t>the two potential outliers in the data.</t>
  </si>
  <si>
    <t>esr</t>
  </si>
  <si>
    <t>N1 =</t>
  </si>
  <si>
    <t>N2 =</t>
  </si>
  <si>
    <t>p-value</t>
  </si>
  <si>
    <t>group, so this test is probably just detecting the presence of those two "outliers".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</si>
</sst>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Symbol"/>
      <family val="1"/>
      <charset val="2"/>
    </font>
    <font>
      <b/>
      <sz val="11"/>
      <color theme="3"/>
      <name val="Calibri"/>
      <family val="2"/>
      <scheme val="minor"/>
    </font>
    <font>
      <sz val="10"/>
      <color rgb="FF454545"/>
      <name val="Arial Unicode MS"/>
      <family val="2"/>
    </font>
    <font>
      <b/>
      <i/>
      <sz val="10"/>
      <color rgb="FF454545"/>
      <name val="Arial"/>
      <family val="2"/>
    </font>
    <font>
      <sz val="10"/>
      <color rgb="FF454545"/>
      <name val="Arial"/>
      <family val="2"/>
    </font>
    <font>
      <b/>
      <sz val="10"/>
      <color rgb="FF454545"/>
      <name val="Arial"/>
      <family val="2"/>
    </font>
    <font>
      <sz val="10"/>
      <color rgb="FFFF0000"/>
      <name val="Arial"/>
      <family val="2"/>
    </font>
    <font>
      <sz val="11"/>
      <color theme="3"/>
      <name val="Calibri"/>
      <family val="2"/>
      <scheme val="minor"/>
    </font>
    <font>
      <sz val="8"/>
      <color theme="1"/>
      <name val="Times New Roman"/>
      <family val="1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" fillId="0" borderId="0" xfId="0" applyFont="1"/>
    <xf numFmtId="0" fontId="1" fillId="0" borderId="0" xfId="0" quotePrefix="1" applyFont="1"/>
    <xf numFmtId="0" fontId="11" fillId="0" borderId="0" xfId="0" applyFont="1" applyAlignment="1">
      <alignment horizontal="justify" vertical="center"/>
    </xf>
    <xf numFmtId="0" fontId="2" fillId="0" borderId="0" xfId="0" applyFont="1"/>
    <xf numFmtId="0" fontId="12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802777777777778"/>
          <c:y val="5.0409158977827155E-2"/>
          <c:w val="0.76608333333333334"/>
          <c:h val="0.7252277667745519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3.492257217847769E-2"/>
                  <c:y val="0.51308305211848515"/>
                </c:manualLayout>
              </c:layout>
              <c:numFmt formatCode="General" sourceLinked="0"/>
            </c:trendlineLbl>
          </c:trendline>
          <c:xVal>
            <c:numRef>
              <c:f>'Flow Meters'!$B$9:$B$47</c:f>
              <c:numCache>
                <c:formatCode>General</c:formatCode>
                <c:ptCount val="39"/>
                <c:pt idx="0">
                  <c:v>80.02</c:v>
                </c:pt>
                <c:pt idx="1">
                  <c:v>80.13</c:v>
                </c:pt>
                <c:pt idx="2">
                  <c:v>80.25</c:v>
                </c:pt>
                <c:pt idx="3">
                  <c:v>80.64</c:v>
                </c:pt>
                <c:pt idx="4">
                  <c:v>80.67</c:v>
                </c:pt>
                <c:pt idx="5">
                  <c:v>80.69</c:v>
                </c:pt>
                <c:pt idx="6">
                  <c:v>80.69</c:v>
                </c:pt>
                <c:pt idx="7">
                  <c:v>80.709999999999994</c:v>
                </c:pt>
                <c:pt idx="8">
                  <c:v>80.739999999999995</c:v>
                </c:pt>
                <c:pt idx="9">
                  <c:v>82.35</c:v>
                </c:pt>
                <c:pt idx="10">
                  <c:v>82.38</c:v>
                </c:pt>
                <c:pt idx="11">
                  <c:v>82.45</c:v>
                </c:pt>
                <c:pt idx="12">
                  <c:v>82.65</c:v>
                </c:pt>
                <c:pt idx="13">
                  <c:v>82.65</c:v>
                </c:pt>
                <c:pt idx="14">
                  <c:v>82.65</c:v>
                </c:pt>
                <c:pt idx="15">
                  <c:v>82.75</c:v>
                </c:pt>
                <c:pt idx="16">
                  <c:v>82.77</c:v>
                </c:pt>
                <c:pt idx="17">
                  <c:v>82.77</c:v>
                </c:pt>
                <c:pt idx="18">
                  <c:v>82.84</c:v>
                </c:pt>
                <c:pt idx="19">
                  <c:v>83.07</c:v>
                </c:pt>
                <c:pt idx="20">
                  <c:v>83.28</c:v>
                </c:pt>
                <c:pt idx="21">
                  <c:v>84.5</c:v>
                </c:pt>
                <c:pt idx="22">
                  <c:v>84.57</c:v>
                </c:pt>
                <c:pt idx="23">
                  <c:v>85.08</c:v>
                </c:pt>
                <c:pt idx="24">
                  <c:v>85.54</c:v>
                </c:pt>
                <c:pt idx="25">
                  <c:v>85.54</c:v>
                </c:pt>
                <c:pt idx="26">
                  <c:v>85.63</c:v>
                </c:pt>
                <c:pt idx="27">
                  <c:v>86.97</c:v>
                </c:pt>
                <c:pt idx="28">
                  <c:v>87.77</c:v>
                </c:pt>
                <c:pt idx="29">
                  <c:v>87.91</c:v>
                </c:pt>
                <c:pt idx="30">
                  <c:v>88.05</c:v>
                </c:pt>
                <c:pt idx="31">
                  <c:v>88.44</c:v>
                </c:pt>
                <c:pt idx="32">
                  <c:v>88.97</c:v>
                </c:pt>
                <c:pt idx="33">
                  <c:v>89.08</c:v>
                </c:pt>
                <c:pt idx="34">
                  <c:v>89.27</c:v>
                </c:pt>
                <c:pt idx="35">
                  <c:v>89.34</c:v>
                </c:pt>
                <c:pt idx="36">
                  <c:v>89.82</c:v>
                </c:pt>
                <c:pt idx="37">
                  <c:v>90.38</c:v>
                </c:pt>
                <c:pt idx="38">
                  <c:v>90.86</c:v>
                </c:pt>
              </c:numCache>
            </c:numRef>
          </c:xVal>
          <c:yVal>
            <c:numRef>
              <c:f>'Flow Meters'!$C$9:$C$47</c:f>
              <c:numCache>
                <c:formatCode>General</c:formatCode>
                <c:ptCount val="39"/>
                <c:pt idx="0">
                  <c:v>-0.71879382889199261</c:v>
                </c:pt>
                <c:pt idx="1">
                  <c:v>-0.69935328620845749</c:v>
                </c:pt>
                <c:pt idx="2">
                  <c:v>-0.89470061940811785</c:v>
                </c:pt>
                <c:pt idx="3">
                  <c:v>-0.31615554852987948</c:v>
                </c:pt>
                <c:pt idx="4">
                  <c:v>-0.46502424062530812</c:v>
                </c:pt>
                <c:pt idx="5">
                  <c:v>-0.69569011489795041</c:v>
                </c:pt>
                <c:pt idx="6">
                  <c:v>-0.39390181632504306</c:v>
                </c:pt>
                <c:pt idx="7">
                  <c:v>-0.36718218072171743</c:v>
                </c:pt>
                <c:pt idx="8">
                  <c:v>-0.63464625262377905</c:v>
                </c:pt>
                <c:pt idx="9">
                  <c:v>-0.33468482252141984</c:v>
                </c:pt>
                <c:pt idx="10">
                  <c:v>-0.28272047779759141</c:v>
                </c:pt>
                <c:pt idx="11">
                  <c:v>-0.16673240345655096</c:v>
                </c:pt>
                <c:pt idx="12">
                  <c:v>-0.25370407956159935</c:v>
                </c:pt>
                <c:pt idx="13">
                  <c:v>-0.42114935487576965</c:v>
                </c:pt>
                <c:pt idx="14">
                  <c:v>-0.2496595551520748</c:v>
                </c:pt>
                <c:pt idx="15">
                  <c:v>-0.17021578396780729</c:v>
                </c:pt>
                <c:pt idx="16">
                  <c:v>-0.35710662473370147</c:v>
                </c:pt>
                <c:pt idx="17">
                  <c:v>-0.29238578680202998</c:v>
                </c:pt>
                <c:pt idx="18">
                  <c:v>-0.16064420359110226</c:v>
                </c:pt>
                <c:pt idx="19">
                  <c:v>-0.24212089767848741</c:v>
                </c:pt>
                <c:pt idx="20">
                  <c:v>-0.29523150221932415</c:v>
                </c:pt>
                <c:pt idx="21">
                  <c:v>0.12977350198120882</c:v>
                </c:pt>
                <c:pt idx="22">
                  <c:v>8.5845932829939048E-2</c:v>
                </c:pt>
                <c:pt idx="23">
                  <c:v>-0.27332329994638033</c:v>
                </c:pt>
                <c:pt idx="24">
                  <c:v>0.67148939115987594</c:v>
                </c:pt>
                <c:pt idx="25">
                  <c:v>0.6784706717205935</c:v>
                </c:pt>
                <c:pt idx="26">
                  <c:v>0.77812245463840868</c:v>
                </c:pt>
                <c:pt idx="27">
                  <c:v>0.28895768833848645</c:v>
                </c:pt>
                <c:pt idx="28">
                  <c:v>0.3409281442703655</c:v>
                </c:pt>
                <c:pt idx="29">
                  <c:v>0.3281561725057317</c:v>
                </c:pt>
                <c:pt idx="30">
                  <c:v>0.21045381495370452</c:v>
                </c:pt>
                <c:pt idx="31">
                  <c:v>0.43064197905599899</c:v>
                </c:pt>
                <c:pt idx="32">
                  <c:v>0.52099006921458313</c:v>
                </c:pt>
                <c:pt idx="33">
                  <c:v>0.54365647814155393</c:v>
                </c:pt>
                <c:pt idx="34">
                  <c:v>0.56518658070760353</c:v>
                </c:pt>
                <c:pt idx="35">
                  <c:v>0.6508005192557319</c:v>
                </c:pt>
                <c:pt idx="36">
                  <c:v>0.78296273097400559</c:v>
                </c:pt>
                <c:pt idx="37">
                  <c:v>0.79835089006516957</c:v>
                </c:pt>
                <c:pt idx="38">
                  <c:v>0.8479512128271971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650944"/>
        <c:axId val="222651520"/>
      </c:scatterChart>
      <c:valAx>
        <c:axId val="222650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Nitrogen Temperature (K)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222651520"/>
        <c:crosses val="autoZero"/>
        <c:crossBetween val="midCat"/>
      </c:valAx>
      <c:valAx>
        <c:axId val="2226515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Percent Weight Difference</a:t>
                </a:r>
              </a:p>
            </c:rich>
          </c:tx>
          <c:layout>
            <c:manualLayout>
              <c:xMode val="edge"/>
              <c:yMode val="edge"/>
              <c:x val="2.5000000000000001E-2"/>
              <c:y val="0.10179383827021622"/>
            </c:manualLayout>
          </c:layout>
          <c:overlay val="0"/>
        </c:title>
        <c:numFmt formatCode="General" sourceLinked="1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222650944"/>
        <c:crosses val="autoZero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69444444444448"/>
          <c:y val="5.0409158977827155E-2"/>
          <c:w val="0.77441666666666675"/>
          <c:h val="0.7252277667745519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'Flow Meters'!$I$9:$I$47</c:f>
              <c:numCache>
                <c:formatCode>General</c:formatCode>
                <c:ptCount val="39"/>
                <c:pt idx="0">
                  <c:v>-0.60981474802198754</c:v>
                </c:pt>
                <c:pt idx="1">
                  <c:v>-0.59480789788846167</c:v>
                </c:pt>
                <c:pt idx="2">
                  <c:v>-0.57843678865188508</c:v>
                </c:pt>
                <c:pt idx="3">
                  <c:v>-0.52523068363301562</c:v>
                </c:pt>
                <c:pt idx="4">
                  <c:v>-0.52113790632387236</c:v>
                </c:pt>
                <c:pt idx="5">
                  <c:v>-0.51840938811777626</c:v>
                </c:pt>
                <c:pt idx="6">
                  <c:v>-0.51840938811777626</c:v>
                </c:pt>
                <c:pt idx="7">
                  <c:v>-0.51568086991168016</c:v>
                </c:pt>
                <c:pt idx="8">
                  <c:v>-0.5115880926025369</c:v>
                </c:pt>
                <c:pt idx="9">
                  <c:v>-0.29194237701181969</c:v>
                </c:pt>
                <c:pt idx="10">
                  <c:v>-0.28784959970267465</c:v>
                </c:pt>
                <c:pt idx="11">
                  <c:v>-0.2782997859813392</c:v>
                </c:pt>
                <c:pt idx="12">
                  <c:v>-0.25101460392038</c:v>
                </c:pt>
                <c:pt idx="13">
                  <c:v>-0.25101460392038</c:v>
                </c:pt>
                <c:pt idx="14">
                  <c:v>-0.25101460392038</c:v>
                </c:pt>
                <c:pt idx="15">
                  <c:v>-0.23737201288990128</c:v>
                </c:pt>
                <c:pt idx="16">
                  <c:v>-0.23464349468380519</c:v>
                </c:pt>
                <c:pt idx="17">
                  <c:v>-0.23464349468380519</c:v>
                </c:pt>
                <c:pt idx="18">
                  <c:v>-0.22509368096246796</c:v>
                </c:pt>
                <c:pt idx="19">
                  <c:v>-0.19371572159236727</c:v>
                </c:pt>
                <c:pt idx="20">
                  <c:v>-0.16506628042835914</c:v>
                </c:pt>
                <c:pt idx="21">
                  <c:v>1.3733301434886158E-3</c:v>
                </c:pt>
                <c:pt idx="22">
                  <c:v>1.0923143864822293E-2</c:v>
                </c:pt>
                <c:pt idx="23">
                  <c:v>8.0500358120268345E-2</c:v>
                </c:pt>
                <c:pt idx="24">
                  <c:v>0.14325627686047504</c:v>
                </c:pt>
                <c:pt idx="25">
                  <c:v>0.14325627686047504</c:v>
                </c:pt>
                <c:pt idx="26">
                  <c:v>0.15553460878790482</c:v>
                </c:pt>
                <c:pt idx="27">
                  <c:v>0.33834532859632915</c:v>
                </c:pt>
                <c:pt idx="28">
                  <c:v>0.44748605684016418</c:v>
                </c:pt>
                <c:pt idx="29">
                  <c:v>0.46658568428283509</c:v>
                </c:pt>
                <c:pt idx="30">
                  <c:v>0.485685311725506</c:v>
                </c:pt>
                <c:pt idx="31">
                  <c:v>0.53889141674437546</c:v>
                </c:pt>
                <c:pt idx="32">
                  <c:v>0.61119714920591584</c:v>
                </c:pt>
                <c:pt idx="33">
                  <c:v>0.62620399933944348</c:v>
                </c:pt>
                <c:pt idx="34">
                  <c:v>0.65212492229735375</c:v>
                </c:pt>
                <c:pt idx="35">
                  <c:v>0.66167473601869098</c:v>
                </c:pt>
                <c:pt idx="36">
                  <c:v>0.72715917296499022</c:v>
                </c:pt>
                <c:pt idx="37">
                  <c:v>0.80355768273567563</c:v>
                </c:pt>
                <c:pt idx="38">
                  <c:v>0.86904211968197664</c:v>
                </c:pt>
              </c:numCache>
            </c:numRef>
          </c:xVal>
          <c:yVal>
            <c:numRef>
              <c:f>'Flow Meters'!$H$9:$H$47</c:f>
              <c:numCache>
                <c:formatCode>General</c:formatCode>
                <c:ptCount val="39"/>
                <c:pt idx="0">
                  <c:v>-0.54027825306722965</c:v>
                </c:pt>
                <c:pt idx="1">
                  <c:v>-0.51750315927140755</c:v>
                </c:pt>
                <c:pt idx="2">
                  <c:v>-1.6130516416743019</c:v>
                </c:pt>
                <c:pt idx="3">
                  <c:v>1.0411349728554198</c:v>
                </c:pt>
                <c:pt idx="4">
                  <c:v>0.27552861903265841</c:v>
                </c:pt>
                <c:pt idx="5">
                  <c:v>-0.87867663191835965</c:v>
                </c:pt>
                <c:pt idx="6">
                  <c:v>0.61378475959522771</c:v>
                </c:pt>
                <c:pt idx="7">
                  <c:v>0.73353956609118109</c:v>
                </c:pt>
                <c:pt idx="8">
                  <c:v>-0.60628367584877385</c:v>
                </c:pt>
                <c:pt idx="9">
                  <c:v>-0.20725718958535463</c:v>
                </c:pt>
                <c:pt idx="10">
                  <c:v>2.4852613162205769E-2</c:v>
                </c:pt>
                <c:pt idx="11">
                  <c:v>0.54260148311974488</c:v>
                </c:pt>
                <c:pt idx="12">
                  <c:v>-1.3014964131132293E-2</c:v>
                </c:pt>
                <c:pt idx="13">
                  <c:v>-0.83117996125251159</c:v>
                </c:pt>
                <c:pt idx="14">
                  <c:v>6.5573674982692814E-3</c:v>
                </c:pt>
                <c:pt idx="15">
                  <c:v>0.32532205358966465</c:v>
                </c:pt>
                <c:pt idx="16">
                  <c:v>-0.59523177835788255</c:v>
                </c:pt>
                <c:pt idx="17">
                  <c:v>-0.27958838351218501</c:v>
                </c:pt>
                <c:pt idx="18">
                  <c:v>0.3120603654752328</c:v>
                </c:pt>
                <c:pt idx="19">
                  <c:v>-0.23404072870074169</c:v>
                </c:pt>
                <c:pt idx="20">
                  <c:v>-0.63194110206105081</c:v>
                </c:pt>
                <c:pt idx="21">
                  <c:v>0.622198652731484</c:v>
                </c:pt>
                <c:pt idx="22">
                  <c:v>0.361781596718247</c:v>
                </c:pt>
                <c:pt idx="23">
                  <c:v>-1.7795842756831408</c:v>
                </c:pt>
                <c:pt idx="24">
                  <c:v>2.8162831603245704</c:v>
                </c:pt>
                <c:pt idx="25">
                  <c:v>2.8619046209129912</c:v>
                </c:pt>
                <c:pt idx="26">
                  <c:v>3.4725787260974283</c:v>
                </c:pt>
                <c:pt idx="27">
                  <c:v>-0.23999555426879909</c:v>
                </c:pt>
                <c:pt idx="28">
                  <c:v>-0.5222544568478662</c:v>
                </c:pt>
                <c:pt idx="29">
                  <c:v>-0.68102261326987656</c:v>
                </c:pt>
                <c:pt idx="30">
                  <c:v>-1.3822884968867475</c:v>
                </c:pt>
                <c:pt idx="31">
                  <c:v>-0.53378570441007189</c:v>
                </c:pt>
                <c:pt idx="32">
                  <c:v>-0.44675513369977621</c:v>
                </c:pt>
                <c:pt idx="33">
                  <c:v>-0.40914671027703381</c:v>
                </c:pt>
                <c:pt idx="34">
                  <c:v>-0.43198360170471439</c:v>
                </c:pt>
                <c:pt idx="35">
                  <c:v>-5.3940562356962887E-2</c:v>
                </c:pt>
                <c:pt idx="36">
                  <c:v>0.27880913108840388</c:v>
                </c:pt>
                <c:pt idx="37">
                  <c:v>-2.6196419282088528E-2</c:v>
                </c:pt>
                <c:pt idx="38">
                  <c:v>-0.10694304821210696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653824"/>
        <c:axId val="222654400"/>
      </c:scatterChart>
      <c:valAx>
        <c:axId val="222653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Predicted Precent Weight</a:t>
                </a:r>
                <a:r>
                  <a:rPr lang="en-US" sz="1400" b="0" baseline="0"/>
                  <a:t> Difference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0.26134711286089235"/>
              <c:y val="0.87881139857517809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222654400"/>
        <c:crossesAt val="-100"/>
        <c:crossBetween val="midCat"/>
      </c:valAx>
      <c:valAx>
        <c:axId val="22265440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esr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79571616047994"/>
            </c:manualLayout>
          </c:layout>
          <c:overlay val="0"/>
        </c:title>
        <c:numFmt formatCode="General" sourceLinked="1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222653824"/>
        <c:crossesAt val="-100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383916</xdr:colOff>
      <xdr:row>6</xdr:row>
      <xdr:rowOff>126157</xdr:rowOff>
    </xdr:from>
    <xdr:to>
      <xdr:col>14</xdr:col>
      <xdr:colOff>342900</xdr:colOff>
      <xdr:row>10</xdr:row>
      <xdr:rowOff>14848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7"/>
            <xdr:cNvSpPr txBox="1"/>
          </xdr:nvSpPr>
          <xdr:spPr>
            <a:xfrm>
              <a:off x="6984741" y="1269157"/>
              <a:ext cx="3616584" cy="65069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800" i="1">
                            <a:latin typeface="Cambria Math"/>
                          </a:rPr>
                        </m:ctrlPr>
                      </m:sSubSupPr>
                      <m:e>
                        <m:r>
                          <a:rPr lang="en-US" sz="1800" b="0" i="1">
                            <a:latin typeface="Cambria Math"/>
                          </a:rPr>
                          <m:t>𝐵𝑎𝑟𝑡𝑙𝑒𝑡𝑡</m:t>
                        </m:r>
                        <m:r>
                          <a:rPr lang="en-US" sz="1800" b="0" i="1">
                            <a:latin typeface="Cambria Math"/>
                          </a:rPr>
                          <m:t> </m:t>
                        </m:r>
                        <m:r>
                          <a:rPr lang="en-US" sz="1800" i="1">
                            <a:latin typeface="Cambria Math"/>
                          </a:rPr>
                          <m:t>𝑠</m:t>
                        </m:r>
                      </m:e>
                      <m:sub>
                        <m:r>
                          <a:rPr lang="en-US" sz="1800" i="1">
                            <a:latin typeface="Cambria Math"/>
                          </a:rPr>
                          <m:t>𝑝𝑜𝑜𝑙</m:t>
                        </m:r>
                      </m:sub>
                      <m:sup>
                        <m:r>
                          <a:rPr lang="en-US" sz="1800" i="1">
                            <a:latin typeface="Cambria Math"/>
                          </a:rPr>
                          <m:t>2</m:t>
                        </m:r>
                      </m:sup>
                    </m:sSubSup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i="1">
                            <a:latin typeface="Cambria Math"/>
                          </a:rPr>
                        </m:ctrlPr>
                      </m:fPr>
                      <m:num>
                        <m:sSubSup>
                          <m:sSub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1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  <m:r>
                          <a:rPr lang="en-US" sz="1800" b="0" i="1">
                            <a:latin typeface="Cambria Math"/>
                          </a:rPr>
                          <m:t>+</m:t>
                        </m:r>
                        <m:sSubSup>
                          <m:sSub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</m:num>
                      <m:den>
                        <m:r>
                          <a:rPr lang="en-US" sz="1800" b="0" i="1">
                            <a:latin typeface="Cambria Math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3" name="TextBox 7"/>
            <xdr:cNvSpPr txBox="1"/>
          </xdr:nvSpPr>
          <xdr:spPr>
            <a:xfrm>
              <a:off x="6984741" y="1269157"/>
              <a:ext cx="3616584" cy="65069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i="0">
                  <a:latin typeface="Cambria Math"/>
                </a:rPr>
                <a:t>〖</a:t>
              </a:r>
              <a:r>
                <a:rPr lang="en-US" sz="1800" b="0" i="0">
                  <a:latin typeface="Cambria Math"/>
                </a:rPr>
                <a:t>𝐵𝑎𝑟𝑡𝑙𝑒𝑡𝑡 </a:t>
              </a:r>
              <a:r>
                <a:rPr lang="en-US" sz="1800" i="0">
                  <a:latin typeface="Cambria Math"/>
                </a:rPr>
                <a:t>𝑠〗_𝑝𝑜𝑜𝑙^2</a:t>
              </a:r>
              <a:r>
                <a:rPr lang="en-US" sz="1800" b="0" i="0">
                  <a:latin typeface="Cambria Math"/>
                </a:rPr>
                <a:t>=</a:t>
              </a:r>
              <a:r>
                <a:rPr lang="en-US" sz="1800" i="0">
                  <a:latin typeface="Cambria Math"/>
                </a:rPr>
                <a:t>(𝑠_1^2</a:t>
              </a:r>
              <a:r>
                <a:rPr lang="en-US" sz="1800" b="0" i="0">
                  <a:latin typeface="Cambria Math"/>
                </a:rPr>
                <a:t>+</a:t>
              </a:r>
              <a:r>
                <a:rPr lang="en-US" sz="1800" i="0">
                  <a:latin typeface="Cambria Math"/>
                </a:rPr>
                <a:t>𝑠_</a:t>
              </a:r>
              <a:r>
                <a:rPr lang="en-US" sz="1800" b="0" i="0">
                  <a:latin typeface="Cambria Math"/>
                </a:rPr>
                <a:t>2^</a:t>
              </a:r>
              <a:r>
                <a:rPr lang="en-US" sz="1800" i="0">
                  <a:latin typeface="Cambria Math"/>
                </a:rPr>
                <a:t>2)/</a:t>
              </a:r>
              <a:r>
                <a:rPr lang="en-US" sz="1800" b="0" i="0">
                  <a:latin typeface="Cambria Math"/>
                </a:rPr>
                <a:t>2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8</xdr:col>
      <xdr:colOff>352425</xdr:colOff>
      <xdr:row>10</xdr:row>
      <xdr:rowOff>85725</xdr:rowOff>
    </xdr:from>
    <xdr:to>
      <xdr:col>15</xdr:col>
      <xdr:colOff>152400</xdr:colOff>
      <xdr:row>14</xdr:row>
      <xdr:rowOff>38729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5"/>
            <xdr:cNvSpPr txBox="1"/>
          </xdr:nvSpPr>
          <xdr:spPr>
            <a:xfrm>
              <a:off x="6953250" y="1990725"/>
              <a:ext cx="4067175" cy="71500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b="0" i="1">
                        <a:latin typeface="Cambria Math"/>
                      </a:rPr>
                      <m:t>𝐵𝑎𝑟𝑡𝑙𝑒𝑡𝑡</m:t>
                    </m:r>
                    <m:r>
                      <a:rPr lang="en-US" sz="1800" b="0" i="1">
                        <a:latin typeface="Cambria Math"/>
                      </a:rPr>
                      <m:t> </m:t>
                    </m:r>
                    <m:r>
                      <a:rPr lang="en-US" sz="1800" b="0" i="1">
                        <a:latin typeface="Cambria Math"/>
                      </a:rPr>
                      <m:t>𝑇</m:t>
                    </m:r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800" i="1">
                                    <a:latin typeface="Cambria Math"/>
                                  </a:rPr>
                                  <m:t>𝑁</m:t>
                                </m:r>
                                <m:r>
                                  <a:rPr lang="en-US" sz="1800" i="1">
                                    <a:latin typeface="Cambria Math"/>
                                  </a:rPr>
                                  <m:t>−2</m:t>
                                </m:r>
                              </m:e>
                            </m:d>
                          </m:e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en-US" sz="1800" b="0" i="1">
                            <a:latin typeface="Cambria Math"/>
                          </a:rPr>
                          <m:t>𝑁</m:t>
                        </m:r>
                        <m:r>
                          <a:rPr lang="en-US" sz="1800" b="0" i="1">
                            <a:latin typeface="Cambria Math"/>
                          </a:rPr>
                          <m:t>−1</m:t>
                        </m:r>
                      </m:den>
                    </m:f>
                    <m:r>
                      <m:rPr>
                        <m:nor/>
                      </m:rPr>
                      <a:rPr lang="en-US" sz="1800">
                        <a:latin typeface="Cambria Math"/>
                      </a:rPr>
                      <m:t>ln</m:t>
                    </m:r>
                    <m:r>
                      <m:rPr>
                        <m:nor/>
                      </m:rPr>
                      <a:rPr lang="en-US" sz="1800">
                        <a:latin typeface="Cambria Math"/>
                      </a:rPr>
                      <m:t> </m:t>
                    </m:r>
                    <m:f>
                      <m:fPr>
                        <m:ctrlPr>
                          <a:rPr lang="en-US" sz="1800" i="1">
                            <a:latin typeface="Cambria Math"/>
                          </a:rPr>
                        </m:ctrlPr>
                      </m:fPr>
                      <m:num>
                        <m:sSubSup>
                          <m:sSub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𝑝𝑜𝑜𝑙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</m:num>
                      <m:den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1</m:t>
                            </m:r>
                          </m:sub>
                        </m:sSub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4" name="TextBox 5"/>
            <xdr:cNvSpPr txBox="1"/>
          </xdr:nvSpPr>
          <xdr:spPr>
            <a:xfrm>
              <a:off x="6953250" y="1990725"/>
              <a:ext cx="4067175" cy="71500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</a:rPr>
                <a:t>𝐵𝑎𝑟𝑡𝑙𝑒𝑡𝑡 𝑇=</a:t>
              </a:r>
              <a:r>
                <a:rPr lang="en-US" sz="1800" i="0">
                  <a:latin typeface="Cambria Math"/>
                </a:rPr>
                <a:t>(𝑁−2)</a:t>
              </a:r>
              <a:r>
                <a:rPr lang="en-US" sz="1800" b="0" i="0">
                  <a:latin typeface="Cambria Math"/>
                </a:rPr>
                <a:t>^2/(𝑁−1) "</a:t>
              </a:r>
              <a:r>
                <a:rPr lang="en-US" sz="1800" i="0">
                  <a:latin typeface="Cambria Math"/>
                </a:rPr>
                <a:t>ln "  (𝑠_𝑝𝑜𝑜𝑙^2)/(𝑠_1 𝑠_2 )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8</xdr:col>
      <xdr:colOff>466724</xdr:colOff>
      <xdr:row>21</xdr:row>
      <xdr:rowOff>152400</xdr:rowOff>
    </xdr:from>
    <xdr:to>
      <xdr:col>16</xdr:col>
      <xdr:colOff>361950</xdr:colOff>
      <xdr:row>25</xdr:row>
      <xdr:rowOff>91105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7"/>
            <xdr:cNvSpPr txBox="1"/>
          </xdr:nvSpPr>
          <xdr:spPr>
            <a:xfrm>
              <a:off x="7067549" y="4152900"/>
              <a:ext cx="4772026" cy="7007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800" i="1">
                            <a:latin typeface="Cambria Math"/>
                          </a:rPr>
                        </m:ctrlPr>
                      </m:sSubSupPr>
                      <m:e>
                        <m:r>
                          <a:rPr lang="en-US" sz="1800" b="0" i="1">
                            <a:latin typeface="Cambria Math"/>
                          </a:rPr>
                          <m:t>𝐵</m:t>
                        </m:r>
                        <m:r>
                          <a:rPr lang="en-US" sz="1800" b="0" i="1">
                            <a:latin typeface="Cambria Math"/>
                          </a:rPr>
                          <m:t>−</m:t>
                        </m:r>
                        <m:r>
                          <a:rPr lang="en-US" sz="1800" b="0" i="1">
                            <a:latin typeface="Cambria Math"/>
                          </a:rPr>
                          <m:t>𝐹</m:t>
                        </m:r>
                        <m:r>
                          <a:rPr lang="en-US" sz="1800" b="0" i="1">
                            <a:latin typeface="Cambria Math"/>
                          </a:rPr>
                          <m:t> </m:t>
                        </m:r>
                        <m:r>
                          <a:rPr lang="en-US" sz="1800" i="1">
                            <a:latin typeface="Cambria Math"/>
                          </a:rPr>
                          <m:t>𝑠</m:t>
                        </m:r>
                      </m:e>
                      <m:sub>
                        <m:r>
                          <a:rPr lang="en-US" sz="1800" i="1">
                            <a:latin typeface="Cambria Math"/>
                          </a:rPr>
                          <m:t>𝑝𝑜𝑜𝑙</m:t>
                        </m:r>
                      </m:sub>
                      <m:sup>
                        <m:r>
                          <a:rPr lang="en-US" sz="1800" i="1">
                            <a:latin typeface="Cambria Math"/>
                          </a:rPr>
                          <m:t>2</m:t>
                        </m:r>
                      </m:sup>
                    </m:sSubSup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i="1">
                            <a:latin typeface="Cambria Math"/>
                          </a:rPr>
                        </m:ctrlPr>
                      </m:fPr>
                      <m:num>
                        <m:sSubSup>
                          <m:sSub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(</m:t>
                            </m:r>
                            <m:sSub>
                              <m:sSub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latin typeface="Cambria Math"/>
                                  </a:rPr>
                                  <m:t>𝑛</m:t>
                                </m:r>
                              </m:e>
                              <m:sub>
                                <m:r>
                                  <a:rPr lang="en-US" sz="1800" b="0" i="1">
                                    <a:latin typeface="Cambria Math"/>
                                  </a:rPr>
                                  <m:t>1</m:t>
                                </m:r>
                              </m:sub>
                            </m:sSub>
                            <m:r>
                              <a:rPr lang="en-US" sz="1800" b="0" i="1">
                                <a:latin typeface="Cambria Math"/>
                              </a:rPr>
                              <m:t>−1)</m:t>
                            </m:r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𝑑</m:t>
                            </m:r>
                            <m:r>
                              <a:rPr lang="en-US" sz="1800" i="1">
                                <a:latin typeface="Cambria Math"/>
                              </a:rPr>
                              <m:t>1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  <m:r>
                          <a:rPr lang="en-US" sz="1800" b="0" i="1">
                            <a:latin typeface="Cambria Math"/>
                          </a:rPr>
                          <m:t>+(</m:t>
                        </m:r>
                        <m:sSub>
                          <m:sSubPr>
                            <m:ctrlPr>
                              <a:rPr lang="en-US" sz="2000" b="0" i="1" kern="1200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</m:ctrlPr>
                          </m:sSubPr>
                          <m:e>
                            <m:r>
                              <a:rPr lang="en-US" sz="2000" b="0" i="1" kern="1200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𝑛</m:t>
                            </m:r>
                          </m:e>
                          <m:sub>
                            <m:r>
                              <a:rPr lang="en-US" sz="2000" b="0" i="1" kern="1200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2</m:t>
                            </m:r>
                          </m:sub>
                        </m:sSub>
                        <m:r>
                          <a:rPr lang="en-US" sz="1800" b="0" i="1">
                            <a:latin typeface="Cambria Math"/>
                          </a:rPr>
                          <m:t>−1)</m:t>
                        </m:r>
                        <m:sSubSup>
                          <m:sSub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𝑑</m:t>
                            </m:r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</m:num>
                      <m:den>
                        <m:sSub>
                          <m:sSubPr>
                            <m:ctrlPr>
                              <a:rPr lang="en-US" sz="2000" b="0" i="1" kern="1200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</m:ctrlPr>
                          </m:sSubPr>
                          <m:e>
                            <m:r>
                              <a:rPr lang="en-US" sz="2000" b="0" i="1" kern="1200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𝑛</m:t>
                            </m:r>
                          </m:e>
                          <m:sub>
                            <m:r>
                              <a:rPr lang="en-US" sz="2000" b="0" i="1" kern="1200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1</m:t>
                            </m:r>
                          </m:sub>
                        </m:sSub>
                        <m:r>
                          <a:rPr lang="en-US" sz="2000" b="0" i="1" kern="1200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ヒラギノ角ゴ Pro W3"/>
                            <a:cs typeface="Arial" charset="0"/>
                          </a:rPr>
                          <m:t>+</m:t>
                        </m:r>
                        <m:sSub>
                          <m:sSubPr>
                            <m:ctrlPr>
                              <a:rPr lang="en-US" sz="2000" b="0" i="1" kern="1200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</m:ctrlPr>
                          </m:sSubPr>
                          <m:e>
                            <m:r>
                              <a:rPr lang="en-US" sz="2000" b="0" i="1" kern="1200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𝑛</m:t>
                            </m:r>
                          </m:e>
                          <m:sub>
                            <m:r>
                              <a:rPr lang="en-US" sz="2000" b="0" i="1" kern="1200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2</m:t>
                            </m:r>
                          </m:sub>
                        </m:sSub>
                        <m:r>
                          <a:rPr lang="en-US" sz="1800" b="0" i="1">
                            <a:latin typeface="Cambria Math"/>
                          </a:rPr>
                          <m:t>−2</m:t>
                        </m:r>
                      </m:den>
                    </m:f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5" name="TextBox 7"/>
            <xdr:cNvSpPr txBox="1"/>
          </xdr:nvSpPr>
          <xdr:spPr>
            <a:xfrm>
              <a:off x="7067549" y="4152900"/>
              <a:ext cx="4772026" cy="7007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i="0">
                  <a:latin typeface="Cambria Math"/>
                </a:rPr>
                <a:t>〖</a:t>
              </a:r>
              <a:r>
                <a:rPr lang="en-US" sz="1800" b="0" i="0">
                  <a:latin typeface="Cambria Math"/>
                </a:rPr>
                <a:t>𝐵−𝐹 </a:t>
              </a:r>
              <a:r>
                <a:rPr lang="en-US" sz="1800" i="0">
                  <a:latin typeface="Cambria Math"/>
                </a:rPr>
                <a:t>𝑠〗_𝑝𝑜𝑜𝑙^2</a:t>
              </a:r>
              <a:r>
                <a:rPr lang="en-US" sz="1800" b="0" i="0">
                  <a:latin typeface="Cambria Math"/>
                </a:rPr>
                <a:t>=</a:t>
              </a:r>
              <a:r>
                <a:rPr lang="en-US" sz="1800" i="0">
                  <a:latin typeface="Cambria Math"/>
                </a:rPr>
                <a:t>(〖</a:t>
              </a:r>
              <a:r>
                <a:rPr lang="en-US" sz="1800" b="0" i="0">
                  <a:latin typeface="Cambria Math"/>
                </a:rPr>
                <a:t>(𝑛_1−1)</a:t>
              </a:r>
              <a:r>
                <a:rPr lang="en-US" sz="1800" i="0">
                  <a:latin typeface="Cambria Math"/>
                </a:rPr>
                <a:t>𝑠〗_</a:t>
              </a:r>
              <a:r>
                <a:rPr lang="en-US" sz="1800" b="0" i="0">
                  <a:latin typeface="Cambria Math"/>
                </a:rPr>
                <a:t>𝑑</a:t>
              </a:r>
              <a:r>
                <a:rPr lang="en-US" sz="1800" i="0">
                  <a:latin typeface="Cambria Math"/>
                </a:rPr>
                <a:t>1^2</a:t>
              </a:r>
              <a:r>
                <a:rPr lang="en-US" sz="1800" b="0" i="0">
                  <a:latin typeface="Cambria Math"/>
                </a:rPr>
                <a:t>+(</a:t>
              </a:r>
              <a:r>
                <a:rPr lang="en-US" sz="2000" b="0" i="0" kern="1200">
                  <a:solidFill>
                    <a:schemeClr val="tx1"/>
                  </a:solidFill>
                  <a:effectLst/>
                  <a:latin typeface="Arial" charset="0"/>
                  <a:ea typeface="ヒラギノ角ゴ Pro W3"/>
                  <a:cs typeface="Arial" charset="0"/>
                </a:rPr>
                <a:t>𝑛_</a:t>
              </a:r>
              <a:r>
                <a:rPr lang="en-US" sz="2000" b="0" i="0" kern="1200">
                  <a:solidFill>
                    <a:schemeClr val="tx1"/>
                  </a:solidFill>
                  <a:effectLst/>
                  <a:latin typeface="Cambria Math"/>
                  <a:ea typeface="ヒラギノ角ゴ Pro W3"/>
                  <a:cs typeface="Arial" charset="0"/>
                </a:rPr>
                <a:t>2</a:t>
              </a:r>
              <a:r>
                <a:rPr lang="en-US" sz="1800" b="0" i="0">
                  <a:latin typeface="Cambria Math"/>
                </a:rPr>
                <a:t>−1)</a:t>
              </a:r>
              <a:r>
                <a:rPr lang="en-US" sz="1800" i="0">
                  <a:latin typeface="Cambria Math"/>
                </a:rPr>
                <a:t>𝑠_</a:t>
              </a:r>
              <a:r>
                <a:rPr lang="en-US" sz="1800" b="0" i="0">
                  <a:latin typeface="Cambria Math"/>
                </a:rPr>
                <a:t>𝑑2^</a:t>
              </a:r>
              <a:r>
                <a:rPr lang="en-US" sz="1800" i="0">
                  <a:latin typeface="Cambria Math"/>
                </a:rPr>
                <a:t>2)/(</a:t>
              </a:r>
              <a:r>
                <a:rPr lang="en-US" sz="2000" b="0" i="0" kern="1200">
                  <a:solidFill>
                    <a:schemeClr val="tx1"/>
                  </a:solidFill>
                  <a:effectLst/>
                  <a:latin typeface="Arial" charset="0"/>
                  <a:ea typeface="ヒラギノ角ゴ Pro W3"/>
                  <a:cs typeface="Arial" charset="0"/>
                </a:rPr>
                <a:t>𝑛_1</a:t>
              </a:r>
              <a:r>
                <a:rPr lang="en-US" sz="2000" b="0" i="0" kern="1200">
                  <a:solidFill>
                    <a:schemeClr val="tx1"/>
                  </a:solidFill>
                  <a:effectLst/>
                  <a:latin typeface="Cambria Math"/>
                  <a:ea typeface="ヒラギノ角ゴ Pro W3"/>
                  <a:cs typeface="Arial" charset="0"/>
                </a:rPr>
                <a:t>+</a:t>
              </a:r>
              <a:r>
                <a:rPr lang="en-US" sz="2000" b="0" i="0" kern="1200">
                  <a:solidFill>
                    <a:schemeClr val="tx1"/>
                  </a:solidFill>
                  <a:effectLst/>
                  <a:latin typeface="Arial" charset="0"/>
                  <a:ea typeface="ヒラギノ角ゴ Pro W3"/>
                  <a:cs typeface="Arial" charset="0"/>
                </a:rPr>
                <a:t>𝑛_</a:t>
              </a:r>
              <a:r>
                <a:rPr lang="en-US" sz="2000" b="0" i="0" kern="1200">
                  <a:solidFill>
                    <a:schemeClr val="tx1"/>
                  </a:solidFill>
                  <a:effectLst/>
                  <a:latin typeface="Cambria Math"/>
                  <a:ea typeface="ヒラギノ角ゴ Pro W3"/>
                  <a:cs typeface="Arial" charset="0"/>
                </a:rPr>
                <a:t>2</a:t>
              </a:r>
              <a:r>
                <a:rPr lang="en-US" sz="1800" b="0" i="0">
                  <a:latin typeface="Cambria Math"/>
                </a:rPr>
                <a:t>−2)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8</xdr:col>
      <xdr:colOff>571500</xdr:colOff>
      <xdr:row>26</xdr:row>
      <xdr:rowOff>47625</xdr:rowOff>
    </xdr:from>
    <xdr:to>
      <xdr:col>15</xdr:col>
      <xdr:colOff>371475</xdr:colOff>
      <xdr:row>31</xdr:row>
      <xdr:rowOff>130537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Box 5"/>
            <xdr:cNvSpPr txBox="1"/>
          </xdr:nvSpPr>
          <xdr:spPr>
            <a:xfrm>
              <a:off x="7172325" y="5000625"/>
              <a:ext cx="4067175" cy="103541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b="0" i="1">
                        <a:latin typeface="Cambria Math"/>
                      </a:rPr>
                      <m:t>𝐵</m:t>
                    </m:r>
                    <m:r>
                      <a:rPr lang="en-US" sz="1800" b="0" i="1">
                        <a:latin typeface="Cambria Math"/>
                      </a:rPr>
                      <m:t>−</m:t>
                    </m:r>
                    <m:r>
                      <a:rPr lang="en-US" sz="1800" b="0" i="1">
                        <a:latin typeface="Cambria Math"/>
                      </a:rPr>
                      <m:t>𝐹</m:t>
                    </m:r>
                    <m:r>
                      <a:rPr lang="en-US" sz="1800" b="0" i="1">
                        <a:latin typeface="Cambria Math"/>
                      </a:rPr>
                      <m:t> </m:t>
                    </m:r>
                    <m:r>
                      <a:rPr lang="en-US" sz="1800" b="0" i="1">
                        <a:latin typeface="Cambria Math"/>
                      </a:rPr>
                      <m:t>𝑡</m:t>
                    </m:r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d>
                          <m:dPr>
                            <m:begChr m:val="|"/>
                            <m:endChr m:val="|"/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acc>
                                  <m:accPr>
                                    <m:chr m:val="̅"/>
                                    <m:ctrlPr>
                                      <a:rPr lang="en-US" sz="1800" b="0" i="1">
                                        <a:latin typeface="Cambria Math"/>
                                      </a:rPr>
                                    </m:ctrlPr>
                                  </m:accPr>
                                  <m:e>
                                    <m:r>
                                      <a:rPr lang="en-US" sz="1800" b="0" i="1">
                                        <a:latin typeface="Cambria Math"/>
                                      </a:rPr>
                                      <m:t>𝑑</m:t>
                                    </m:r>
                                  </m:e>
                                </m:acc>
                              </m:e>
                              <m:sub>
                                <m:r>
                                  <a:rPr lang="en-US" sz="1800" b="0" i="1">
                                    <a:latin typeface="Cambria Math"/>
                                  </a:rPr>
                                  <m:t>1</m:t>
                                </m:r>
                              </m:sub>
                            </m:sSub>
                            <m:r>
                              <a:rPr lang="en-US" sz="1800" b="0" i="1">
                                <a:latin typeface="Cambria Math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en-US" sz="2000" b="0" i="1" kern="120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ヒラギノ角ゴ Pro W3"/>
                                    <a:cs typeface="Arial" charset="0"/>
                                  </a:rPr>
                                </m:ctrlPr>
                              </m:sSubPr>
                              <m:e>
                                <m:acc>
                                  <m:accPr>
                                    <m:chr m:val="̅"/>
                                    <m:ctrlPr>
                                      <a:rPr lang="en-US" sz="2000" b="0" i="1" kern="1200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/>
                                        <a:ea typeface="ヒラギノ角ゴ Pro W3"/>
                                        <a:cs typeface="Arial" charset="0"/>
                                      </a:rPr>
                                    </m:ctrlPr>
                                  </m:accPr>
                                  <m:e>
                                    <m:r>
                                      <a:rPr lang="en-US" sz="2000" b="0" i="1" kern="1200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/>
                                        <a:ea typeface="ヒラギノ角ゴ Pro W3"/>
                                        <a:cs typeface="Arial" charset="0"/>
                                      </a:rPr>
                                      <m:t>𝑑</m:t>
                                    </m:r>
                                  </m:e>
                                </m:acc>
                              </m:e>
                              <m:sub>
                                <m:r>
                                  <a:rPr lang="en-US" sz="2000" b="0" i="1" kern="120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ヒラギノ角ゴ Pro W3"/>
                                    <a:cs typeface="Arial" charset="0"/>
                                  </a:rPr>
                                  <m:t>2</m:t>
                                </m:r>
                              </m:sub>
                            </m:sSub>
                          </m:e>
                        </m:d>
                      </m:num>
                      <m:den>
                        <m:sSub>
                          <m:sSub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𝑝𝑜𝑜𝑙</m:t>
                            </m:r>
                          </m:sub>
                        </m:sSub>
                        <m:rad>
                          <m:radPr>
                            <m:degHide m:val="on"/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radPr>
                          <m:deg/>
                          <m:e>
                            <m:f>
                              <m:f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fPr>
                              <m:num>
                                <m:r>
                                  <a:rPr lang="en-US" sz="1800" b="0" i="1">
                                    <a:latin typeface="Cambria Math"/>
                                  </a:rPr>
                                  <m:t>1</m:t>
                                </m:r>
                              </m:num>
                              <m:den>
                                <m:sSub>
                                  <m:sSubPr>
                                    <m:ctrlPr>
                                      <a:rPr lang="en-US" sz="1800" b="0" i="1">
                                        <a:latin typeface="Cambria Math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800" b="0" i="1">
                                        <a:latin typeface="Cambria Math"/>
                                      </a:rPr>
                                      <m:t>𝑛</m:t>
                                    </m:r>
                                  </m:e>
                                  <m:sub>
                                    <m:r>
                                      <a:rPr lang="en-US" sz="1800" b="0" i="1">
                                        <a:latin typeface="Cambria Math"/>
                                      </a:rPr>
                                      <m:t>1</m:t>
                                    </m:r>
                                  </m:sub>
                                </m:sSub>
                              </m:den>
                            </m:f>
                            <m:r>
                              <a:rPr lang="en-US" sz="1800" b="0" i="1">
                                <a:latin typeface="Cambria Math"/>
                              </a:rPr>
                              <m:t>+</m:t>
                            </m:r>
                            <m:f>
                              <m:fPr>
                                <m:ctrlPr>
                                  <a:rPr lang="en-US" sz="2000" b="0" i="1" kern="120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ヒラギノ角ゴ Pro W3"/>
                                    <a:cs typeface="Arial" charset="0"/>
                                  </a:rPr>
                                </m:ctrlPr>
                              </m:fPr>
                              <m:num>
                                <m:r>
                                  <a:rPr lang="en-US" sz="2000" b="0" i="1" kern="120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ヒラギノ角ゴ Pro W3"/>
                                    <a:cs typeface="Arial" charset="0"/>
                                  </a:rPr>
                                  <m:t>1</m:t>
                                </m:r>
                              </m:num>
                              <m:den>
                                <m:sSub>
                                  <m:sSubPr>
                                    <m:ctrlPr>
                                      <a:rPr lang="en-US" sz="2000" b="0" i="1" kern="1200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/>
                                        <a:ea typeface="ヒラギノ角ゴ Pro W3"/>
                                        <a:cs typeface="Arial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2000" b="0" i="1" kern="1200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/>
                                        <a:ea typeface="ヒラギノ角ゴ Pro W3"/>
                                        <a:cs typeface="Arial" charset="0"/>
                                      </a:rPr>
                                      <m:t>𝑛</m:t>
                                    </m:r>
                                  </m:e>
                                  <m:sub>
                                    <m:r>
                                      <a:rPr lang="en-US" sz="2000" b="0" i="1" kern="1200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/>
                                        <a:ea typeface="ヒラギノ角ゴ Pro W3"/>
                                        <a:cs typeface="Arial" charset="0"/>
                                      </a:rPr>
                                      <m:t>2</m:t>
                                    </m:r>
                                  </m:sub>
                                </m:sSub>
                              </m:den>
                            </m:f>
                          </m:e>
                        </m:rad>
                      </m:den>
                    </m:f>
                  </m:oMath>
                </m:oMathPara>
              </a14:m>
              <a:endParaRPr lang="en-US" sz="1800"/>
            </a:p>
          </xdr:txBody>
        </xdr:sp>
      </mc:Choice>
      <mc:Fallback>
        <xdr:sp macro="" textlink="">
          <xdr:nvSpPr>
            <xdr:cNvPr id="6" name="TextBox 5"/>
            <xdr:cNvSpPr txBox="1"/>
          </xdr:nvSpPr>
          <xdr:spPr>
            <a:xfrm>
              <a:off x="7172325" y="5000625"/>
              <a:ext cx="4067175" cy="103541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</a:rPr>
                <a:t>𝐵−𝐹 𝑡=|𝑑 ̅_1−</a:t>
              </a:r>
              <a:r>
                <a:rPr lang="en-US" sz="2000" b="0" i="0" kern="1200">
                  <a:solidFill>
                    <a:schemeClr val="tx1"/>
                  </a:solidFill>
                  <a:effectLst/>
                  <a:latin typeface="Cambria Math"/>
                  <a:ea typeface="ヒラギノ角ゴ Pro W3"/>
                  <a:cs typeface="Arial" charset="0"/>
                </a:rPr>
                <a:t>𝑑 ̅_2 |</a:t>
              </a:r>
              <a:r>
                <a:rPr lang="en-US" sz="1800" b="0" i="0" kern="1200">
                  <a:solidFill>
                    <a:schemeClr val="tx1"/>
                  </a:solidFill>
                  <a:effectLst/>
                  <a:latin typeface="Cambria Math"/>
                  <a:ea typeface="ヒラギノ角ゴ Pro W3"/>
                  <a:cs typeface="Arial" charset="0"/>
                </a:rPr>
                <a:t>/(</a:t>
              </a:r>
              <a:r>
                <a:rPr lang="en-US" sz="1800" b="0" i="0">
                  <a:latin typeface="Cambria Math"/>
                </a:rPr>
                <a:t>𝑠_𝑝𝑜𝑜𝑙 √(1/𝑛_1 +</a:t>
              </a:r>
              <a:r>
                <a:rPr lang="en-US" sz="2000" b="0" i="0" kern="1200">
                  <a:solidFill>
                    <a:schemeClr val="tx1"/>
                  </a:solidFill>
                  <a:effectLst/>
                  <a:latin typeface="Cambria Math"/>
                  <a:ea typeface="ヒラギノ角ゴ Pro W3"/>
                  <a:cs typeface="Arial" charset="0"/>
                </a:rPr>
                <a:t>1/𝑛_2 </a:t>
              </a:r>
              <a:r>
                <a:rPr lang="en-US" sz="1800" b="0" i="0" kern="1200">
                  <a:solidFill>
                    <a:schemeClr val="tx1"/>
                  </a:solidFill>
                  <a:effectLst/>
                  <a:latin typeface="Cambria Math"/>
                  <a:ea typeface="ヒラギノ角ゴ Pro W3"/>
                  <a:cs typeface="Arial" charset="0"/>
                </a:rPr>
                <a:t>))</a:t>
              </a:r>
              <a:endParaRPr lang="en-US" sz="1800"/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285750</xdr:colOff>
      <xdr:row>0</xdr:row>
      <xdr:rowOff>161925</xdr:rowOff>
    </xdr:from>
    <xdr:to>
      <xdr:col>17</xdr:col>
      <xdr:colOff>590550</xdr:colOff>
      <xdr:row>17</xdr:row>
      <xdr:rowOff>28575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260091</xdr:colOff>
      <xdr:row>18</xdr:row>
      <xdr:rowOff>47625</xdr:rowOff>
    </xdr:from>
    <xdr:to>
      <xdr:col>18</xdr:col>
      <xdr:colOff>400050</xdr:colOff>
      <xdr:row>21</xdr:row>
      <xdr:rowOff>126816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7"/>
            <xdr:cNvSpPr txBox="1"/>
          </xdr:nvSpPr>
          <xdr:spPr>
            <a:xfrm>
              <a:off x="8794491" y="3495675"/>
              <a:ext cx="1968759" cy="65069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800" i="1">
                            <a:latin typeface="Cambria Math"/>
                          </a:rPr>
                        </m:ctrlPr>
                      </m:sSubSupPr>
                      <m:e>
                        <m:r>
                          <a:rPr lang="en-US" sz="1800" i="1">
                            <a:latin typeface="Cambria Math"/>
                          </a:rPr>
                          <m:t>𝑠</m:t>
                        </m:r>
                      </m:e>
                      <m:sub>
                        <m:r>
                          <a:rPr lang="en-US" sz="1800" i="1">
                            <a:latin typeface="Cambria Math"/>
                          </a:rPr>
                          <m:t>𝑝𝑜𝑜𝑙</m:t>
                        </m:r>
                      </m:sub>
                      <m:sup>
                        <m:r>
                          <a:rPr lang="en-US" sz="1800" i="1">
                            <a:latin typeface="Cambria Math"/>
                          </a:rPr>
                          <m:t>2</m:t>
                        </m:r>
                      </m:sup>
                    </m:sSubSup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i="1">
                            <a:latin typeface="Cambria Math"/>
                          </a:rPr>
                        </m:ctrlPr>
                      </m:fPr>
                      <m:num>
                        <m:sSubSup>
                          <m:sSub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1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  <m:r>
                          <a:rPr lang="en-US" sz="1800" b="0" i="1">
                            <a:latin typeface="Cambria Math"/>
                          </a:rPr>
                          <m:t>+</m:t>
                        </m:r>
                        <m:sSubSup>
                          <m:sSub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</m:num>
                      <m:den>
                        <m:r>
                          <a:rPr lang="en-US" sz="1800" b="0" i="1">
                            <a:latin typeface="Cambria Math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3" name="TextBox 7"/>
            <xdr:cNvSpPr txBox="1"/>
          </xdr:nvSpPr>
          <xdr:spPr>
            <a:xfrm>
              <a:off x="8794491" y="3495675"/>
              <a:ext cx="1968759" cy="65069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i="0">
                  <a:latin typeface="Cambria Math"/>
                </a:rPr>
                <a:t>𝑠_𝑝𝑜𝑜𝑙^2</a:t>
              </a:r>
              <a:r>
                <a:rPr lang="en-US" sz="1800" b="0" i="0">
                  <a:latin typeface="Cambria Math"/>
                </a:rPr>
                <a:t>=</a:t>
              </a:r>
              <a:r>
                <a:rPr lang="en-US" sz="1800" i="0">
                  <a:latin typeface="Cambria Math"/>
                </a:rPr>
                <a:t>(𝑠_1^2</a:t>
              </a:r>
              <a:r>
                <a:rPr lang="en-US" sz="1800" b="0" i="0">
                  <a:latin typeface="Cambria Math"/>
                </a:rPr>
                <a:t>+</a:t>
              </a:r>
              <a:r>
                <a:rPr lang="en-US" sz="1800" i="0">
                  <a:latin typeface="Cambria Math"/>
                </a:rPr>
                <a:t>𝑠_</a:t>
              </a:r>
              <a:r>
                <a:rPr lang="en-US" sz="1800" b="0" i="0">
                  <a:latin typeface="Cambria Math"/>
                </a:rPr>
                <a:t>2^</a:t>
              </a:r>
              <a:r>
                <a:rPr lang="en-US" sz="1800" i="0">
                  <a:latin typeface="Cambria Math"/>
                </a:rPr>
                <a:t>2)/</a:t>
              </a:r>
              <a:r>
                <a:rPr lang="en-US" sz="1800" b="0" i="0">
                  <a:latin typeface="Cambria Math"/>
                </a:rPr>
                <a:t>2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15</xdr:col>
      <xdr:colOff>209551</xdr:colOff>
      <xdr:row>22</xdr:row>
      <xdr:rowOff>45293</xdr:rowOff>
    </xdr:from>
    <xdr:to>
      <xdr:col>19</xdr:col>
      <xdr:colOff>476453</xdr:colOff>
      <xdr:row>25</xdr:row>
      <xdr:rowOff>188797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5"/>
            <xdr:cNvSpPr txBox="1"/>
          </xdr:nvSpPr>
          <xdr:spPr>
            <a:xfrm>
              <a:off x="8743951" y="4255343"/>
              <a:ext cx="2705302" cy="71500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b="0" i="1">
                        <a:latin typeface="Cambria Math"/>
                      </a:rPr>
                      <m:t>𝑇</m:t>
                    </m:r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800" i="1">
                                    <a:latin typeface="Cambria Math"/>
                                  </a:rPr>
                                  <m:t>𝑁</m:t>
                                </m:r>
                                <m:r>
                                  <a:rPr lang="en-US" sz="1800" i="1">
                                    <a:latin typeface="Cambria Math"/>
                                  </a:rPr>
                                  <m:t>−2</m:t>
                                </m:r>
                              </m:e>
                            </m:d>
                          </m:e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en-US" sz="1800" b="0" i="1">
                            <a:latin typeface="Cambria Math"/>
                          </a:rPr>
                          <m:t>𝑁</m:t>
                        </m:r>
                        <m:r>
                          <a:rPr lang="en-US" sz="1800" b="0" i="1">
                            <a:latin typeface="Cambria Math"/>
                          </a:rPr>
                          <m:t>−1</m:t>
                        </m:r>
                      </m:den>
                    </m:f>
                    <m:r>
                      <m:rPr>
                        <m:nor/>
                      </m:rPr>
                      <a:rPr lang="en-US" sz="1800">
                        <a:latin typeface="Cambria Math"/>
                      </a:rPr>
                      <m:t>ln</m:t>
                    </m:r>
                    <m:r>
                      <m:rPr>
                        <m:nor/>
                      </m:rPr>
                      <a:rPr lang="en-US" sz="1800">
                        <a:latin typeface="Cambria Math"/>
                      </a:rPr>
                      <m:t> </m:t>
                    </m:r>
                    <m:f>
                      <m:fPr>
                        <m:ctrlPr>
                          <a:rPr lang="en-US" sz="1800" i="1">
                            <a:latin typeface="Cambria Math"/>
                          </a:rPr>
                        </m:ctrlPr>
                      </m:fPr>
                      <m:num>
                        <m:sSubSup>
                          <m:sSub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𝑝𝑜𝑜𝑙</m:t>
                            </m:r>
                          </m:sub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</m:num>
                      <m:den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1</m:t>
                            </m:r>
                          </m:sub>
                        </m:sSub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4" name="TextBox 5"/>
            <xdr:cNvSpPr txBox="1"/>
          </xdr:nvSpPr>
          <xdr:spPr>
            <a:xfrm>
              <a:off x="8743951" y="4255343"/>
              <a:ext cx="2705302" cy="71500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</a:rPr>
                <a:t>𝑇=</a:t>
              </a:r>
              <a:r>
                <a:rPr lang="en-US" sz="1800" i="0">
                  <a:latin typeface="Cambria Math"/>
                </a:rPr>
                <a:t>(𝑁−2)</a:t>
              </a:r>
              <a:r>
                <a:rPr lang="en-US" sz="1800" b="0" i="0">
                  <a:latin typeface="Cambria Math"/>
                </a:rPr>
                <a:t>^2/(𝑁−1) "</a:t>
              </a:r>
              <a:r>
                <a:rPr lang="en-US" sz="1800" i="0">
                  <a:latin typeface="Cambria Math"/>
                </a:rPr>
                <a:t>ln "  (𝑠_𝑝𝑜𝑜𝑙^2)/(𝑠_1 𝑠_2 )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19</xdr:col>
      <xdr:colOff>590550</xdr:colOff>
      <xdr:row>16</xdr:row>
      <xdr:rowOff>104775</xdr:rowOff>
    </xdr:from>
    <xdr:to>
      <xdr:col>27</xdr:col>
      <xdr:colOff>285750</xdr:colOff>
      <xdr:row>33</xdr:row>
      <xdr:rowOff>66675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0.37084</cdr:x>
      <cdr:y>0.10416</cdr:y>
    </cdr:from>
    <cdr:to>
      <cdr:x>0.53542</cdr:x>
      <cdr:y>0.19345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95465" y="333369"/>
          <a:ext cx="752460" cy="285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rgbClr val="C00000"/>
              </a:solidFill>
            </a:rPr>
            <a:t>Outliers?</a:t>
          </a:r>
        </a:p>
      </cdr:txBody>
    </cdr:sp>
  </cdr:relSizeAnchor>
  <cdr:relSizeAnchor xmlns:cdr="http://schemas.openxmlformats.org/drawingml/2006/chartDrawing">
    <cdr:from>
      <cdr:x>0.53542</cdr:x>
      <cdr:y>0.14583</cdr:y>
    </cdr:from>
    <cdr:to>
      <cdr:x>0.59167</cdr:x>
      <cdr:y>0.14583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2447925" y="466725"/>
          <a:ext cx="257175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headEnd type="none" w="med" len="med"/>
          <a:tailEnd type="triangle" w="med" len="med"/>
        </a:ln>
      </cdr:spPr>
      <cdr:style>
        <a:lnRef xmlns:a="http://schemas.openxmlformats.org/drawingml/2006/main" idx="1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workbookViewId="0">
      <selection activeCell="M36" sqref="M36"/>
    </sheetView>
  </sheetViews>
  <sheetFormatPr defaultRowHeight="15" x14ac:dyDescent="0.25"/>
  <cols>
    <col min="1" max="1" width="5.28515625" customWidth="1"/>
    <col min="2" max="2" width="24.140625" customWidth="1"/>
    <col min="6" max="6" width="23.85546875" customWidth="1"/>
  </cols>
  <sheetData>
    <row r="1" spans="1:12" x14ac:dyDescent="0.25">
      <c r="A1" t="s">
        <v>56</v>
      </c>
    </row>
    <row r="2" spans="1:12" x14ac:dyDescent="0.25">
      <c r="A2" t="s">
        <v>57</v>
      </c>
    </row>
    <row r="3" spans="1:12" x14ac:dyDescent="0.25">
      <c r="B3" s="4" t="s">
        <v>0</v>
      </c>
      <c r="F3" s="4" t="s">
        <v>5</v>
      </c>
    </row>
    <row r="4" spans="1:12" x14ac:dyDescent="0.25">
      <c r="B4" s="1" t="s">
        <v>6</v>
      </c>
      <c r="C4">
        <f ca="1">COUNT(C10:C59)</f>
        <v>50</v>
      </c>
      <c r="F4" s="1" t="s">
        <v>7</v>
      </c>
      <c r="G4">
        <f ca="1">COUNT(G10:G59)</f>
        <v>50</v>
      </c>
      <c r="J4" s="3" t="s">
        <v>8</v>
      </c>
      <c r="K4">
        <f ca="1">(2*G4-2)^2/(2*G4-1)*LN((C6+G6)/2/SQRT(C6*G6))</f>
        <v>7.2999462839615594</v>
      </c>
    </row>
    <row r="5" spans="1:12" x14ac:dyDescent="0.25">
      <c r="B5" s="1" t="s">
        <v>1</v>
      </c>
      <c r="C5" s="15">
        <v>1</v>
      </c>
      <c r="F5" s="1" t="s">
        <v>1</v>
      </c>
      <c r="G5" s="15">
        <v>1.5</v>
      </c>
      <c r="J5" s="1" t="s">
        <v>9</v>
      </c>
      <c r="K5">
        <f>_xlfn.CHISQ.INV(0.95,1)</f>
        <v>3.8414588206941236</v>
      </c>
      <c r="L5" t="s">
        <v>10</v>
      </c>
    </row>
    <row r="6" spans="1:12" x14ac:dyDescent="0.25">
      <c r="B6" s="1" t="s">
        <v>4</v>
      </c>
      <c r="C6">
        <f ca="1">_xlfn.VAR.S(C10:C59)</f>
        <v>1.2679870603549799</v>
      </c>
      <c r="D6">
        <f ca="1">_xlfn.VAR.S(D10:D59)</f>
        <v>0.56005530043460883</v>
      </c>
      <c r="F6" s="1" t="s">
        <v>4</v>
      </c>
      <c r="G6">
        <f ca="1">_xlfn.VAR.S(G10:G59)</f>
        <v>2.7817500849078578</v>
      </c>
      <c r="H6">
        <f ca="1">_xlfn.VAR.S(H10:H59)</f>
        <v>1.2467693397466058</v>
      </c>
      <c r="J6" s="1" t="s">
        <v>9</v>
      </c>
      <c r="K6">
        <f>_xlfn.CHISQ.INV(0.99,1)</f>
        <v>6.6348966010212118</v>
      </c>
      <c r="L6" t="s">
        <v>11</v>
      </c>
    </row>
    <row r="7" spans="1:12" x14ac:dyDescent="0.25">
      <c r="B7" s="1" t="s">
        <v>49</v>
      </c>
      <c r="C7">
        <f ca="1">MEDIAN(C10:C59)</f>
        <v>-0.26405364507330836</v>
      </c>
      <c r="F7" s="1" t="s">
        <v>49</v>
      </c>
      <c r="G7">
        <f ca="1">MEDIAN(G10:G59)</f>
        <v>0.23252565343247708</v>
      </c>
      <c r="J7" s="1"/>
    </row>
    <row r="8" spans="1:12" x14ac:dyDescent="0.25">
      <c r="B8" s="1" t="s">
        <v>20</v>
      </c>
      <c r="C8">
        <f ca="1">AVERAGE(C10:C59)</f>
        <v>-0.14118104615778562</v>
      </c>
      <c r="D8">
        <f ca="1">AVERAGE(D10:D59)</f>
        <v>0.84194465393291651</v>
      </c>
      <c r="F8" s="1" t="s">
        <v>20</v>
      </c>
      <c r="G8">
        <f ca="1">AVERAGE(G10:G59)</f>
        <v>0.19857774047840451</v>
      </c>
      <c r="H8">
        <f ca="1">AVERAGE(H10:H59)</f>
        <v>1.2269611204320876</v>
      </c>
      <c r="J8" s="1"/>
    </row>
    <row r="9" spans="1:12" x14ac:dyDescent="0.25">
      <c r="B9" s="2" t="s">
        <v>2</v>
      </c>
      <c r="C9" s="2" t="s">
        <v>3</v>
      </c>
      <c r="D9" s="2" t="s">
        <v>50</v>
      </c>
      <c r="F9" s="2" t="s">
        <v>2</v>
      </c>
      <c r="G9" s="2" t="s">
        <v>3</v>
      </c>
      <c r="H9" s="2" t="s">
        <v>51</v>
      </c>
    </row>
    <row r="10" spans="1:12" x14ac:dyDescent="0.25">
      <c r="B10">
        <v>1</v>
      </c>
      <c r="C10">
        <f ca="1">_xlfn.NORM.INV(RAND(),0,C$5)</f>
        <v>0.13500472322118889</v>
      </c>
      <c r="D10">
        <f ca="1">ABS(C10-C$7)</f>
        <v>0.39905836829449726</v>
      </c>
      <c r="F10">
        <v>1</v>
      </c>
      <c r="G10">
        <f ca="1">_xlfn.NORM.INV(RAND(),0,G$5)</f>
        <v>0.89721690569802703</v>
      </c>
      <c r="H10">
        <f ca="1">ABS(G10-G$7)</f>
        <v>0.66469125226554993</v>
      </c>
    </row>
    <row r="11" spans="1:12" x14ac:dyDescent="0.25">
      <c r="B11">
        <v>2</v>
      </c>
      <c r="C11">
        <f t="shared" ref="C11:C59" ca="1" si="0">_xlfn.NORM.INV(RAND(),0,C$5)</f>
        <v>-1.0492862068018416</v>
      </c>
      <c r="D11">
        <f t="shared" ref="D11:D59" ca="1" si="1">ABS(C11-C$7)</f>
        <v>0.78523256172853317</v>
      </c>
      <c r="F11">
        <v>2</v>
      </c>
      <c r="G11">
        <f t="shared" ref="G11:G59" ca="1" si="2">_xlfn.NORM.INV(RAND(),0,G$5)</f>
        <v>1.0729814551310417</v>
      </c>
      <c r="H11">
        <f t="shared" ref="H11:H59" ca="1" si="3">ABS(G11-G$7)</f>
        <v>0.8404558016985646</v>
      </c>
    </row>
    <row r="12" spans="1:12" x14ac:dyDescent="0.25">
      <c r="B12">
        <v>3</v>
      </c>
      <c r="C12">
        <f t="shared" ca="1" si="0"/>
        <v>1.8228060193704527</v>
      </c>
      <c r="D12">
        <f t="shared" ca="1" si="1"/>
        <v>2.0868596644437609</v>
      </c>
      <c r="F12">
        <v>3</v>
      </c>
      <c r="G12">
        <f t="shared" ca="1" si="2"/>
        <v>-0.35679206547308573</v>
      </c>
      <c r="H12">
        <f t="shared" ca="1" si="3"/>
        <v>0.58931771890556284</v>
      </c>
    </row>
    <row r="13" spans="1:12" x14ac:dyDescent="0.25">
      <c r="B13">
        <v>4</v>
      </c>
      <c r="C13">
        <f t="shared" ca="1" si="0"/>
        <v>-1.7617981802067633</v>
      </c>
      <c r="D13">
        <f t="shared" ca="1" si="1"/>
        <v>1.4977445351334548</v>
      </c>
      <c r="F13">
        <v>4</v>
      </c>
      <c r="G13">
        <f t="shared" ca="1" si="2"/>
        <v>0.35094493160207441</v>
      </c>
      <c r="H13">
        <f t="shared" ca="1" si="3"/>
        <v>0.11841927816959733</v>
      </c>
    </row>
    <row r="14" spans="1:12" x14ac:dyDescent="0.25">
      <c r="B14">
        <v>5</v>
      </c>
      <c r="C14">
        <f t="shared" ca="1" si="0"/>
        <v>-0.37191701393460769</v>
      </c>
      <c r="D14">
        <f t="shared" ca="1" si="1"/>
        <v>0.10786336886129932</v>
      </c>
      <c r="F14">
        <v>5</v>
      </c>
      <c r="G14">
        <f t="shared" ca="1" si="2"/>
        <v>3.9551418168345465</v>
      </c>
      <c r="H14">
        <f t="shared" ca="1" si="3"/>
        <v>3.7226161634020696</v>
      </c>
    </row>
    <row r="15" spans="1:12" x14ac:dyDescent="0.25">
      <c r="B15">
        <v>6</v>
      </c>
      <c r="C15">
        <f t="shared" ca="1" si="0"/>
        <v>1.5866440667629831</v>
      </c>
      <c r="D15">
        <f t="shared" ca="1" si="1"/>
        <v>1.8506977118362915</v>
      </c>
      <c r="F15">
        <v>6</v>
      </c>
      <c r="G15">
        <f t="shared" ca="1" si="2"/>
        <v>0.59647665962102159</v>
      </c>
      <c r="H15">
        <f t="shared" ca="1" si="3"/>
        <v>0.36395100618854448</v>
      </c>
    </row>
    <row r="16" spans="1:12" x14ac:dyDescent="0.25">
      <c r="B16">
        <v>7</v>
      </c>
      <c r="C16">
        <f t="shared" ca="1" si="0"/>
        <v>1.0808388895000576</v>
      </c>
      <c r="D16">
        <f t="shared" ca="1" si="1"/>
        <v>1.344892534573366</v>
      </c>
      <c r="F16">
        <v>7</v>
      </c>
      <c r="G16">
        <f t="shared" ca="1" si="2"/>
        <v>0.81165888572821943</v>
      </c>
      <c r="H16">
        <f t="shared" ca="1" si="3"/>
        <v>0.57913323229574232</v>
      </c>
    </row>
    <row r="17" spans="2:12" x14ac:dyDescent="0.25">
      <c r="B17">
        <v>8</v>
      </c>
      <c r="C17">
        <f t="shared" ca="1" si="0"/>
        <v>-1.0552027373551995</v>
      </c>
      <c r="D17">
        <f t="shared" ca="1" si="1"/>
        <v>0.79114909228189112</v>
      </c>
      <c r="F17">
        <v>8</v>
      </c>
      <c r="G17">
        <f t="shared" ca="1" si="2"/>
        <v>1.1892416942953632</v>
      </c>
      <c r="H17">
        <f t="shared" ca="1" si="3"/>
        <v>0.95671604086288609</v>
      </c>
      <c r="J17" s="14" t="s">
        <v>52</v>
      </c>
    </row>
    <row r="18" spans="2:12" x14ac:dyDescent="0.25">
      <c r="B18">
        <v>9</v>
      </c>
      <c r="C18">
        <f t="shared" ca="1" si="0"/>
        <v>-0.44851151688441621</v>
      </c>
      <c r="D18">
        <f t="shared" ca="1" si="1"/>
        <v>0.18445787181110784</v>
      </c>
      <c r="F18">
        <v>9</v>
      </c>
      <c r="G18">
        <f t="shared" ca="1" si="2"/>
        <v>2.582754074861271</v>
      </c>
      <c r="H18">
        <f t="shared" ca="1" si="3"/>
        <v>2.3502284214287941</v>
      </c>
      <c r="J18" s="1" t="s">
        <v>53</v>
      </c>
      <c r="K18">
        <f ca="1">((C4-1)*D6+(G4-1)*H6)/(C4+G4-2)</f>
        <v>0.90341232009060723</v>
      </c>
    </row>
    <row r="19" spans="2:12" x14ac:dyDescent="0.25">
      <c r="B19">
        <v>10</v>
      </c>
      <c r="C19">
        <f t="shared" ca="1" si="0"/>
        <v>-1.1272895910231262</v>
      </c>
      <c r="D19">
        <f t="shared" ca="1" si="1"/>
        <v>0.86323594594981778</v>
      </c>
      <c r="F19">
        <v>10</v>
      </c>
      <c r="G19">
        <f t="shared" ca="1" si="2"/>
        <v>-0.35140213530069675</v>
      </c>
      <c r="H19">
        <f t="shared" ca="1" si="3"/>
        <v>0.58392778873317386</v>
      </c>
      <c r="J19" s="1" t="s">
        <v>54</v>
      </c>
      <c r="K19">
        <f ca="1">ABS(D8-H8)/SQRT(K18*(1/C4+1/G4))</f>
        <v>2.0253790052762235</v>
      </c>
    </row>
    <row r="20" spans="2:12" x14ac:dyDescent="0.25">
      <c r="B20">
        <v>11</v>
      </c>
      <c r="C20">
        <f t="shared" ca="1" si="0"/>
        <v>0.32302525404717897</v>
      </c>
      <c r="D20">
        <f t="shared" ca="1" si="1"/>
        <v>0.58707889912048739</v>
      </c>
      <c r="F20">
        <v>11</v>
      </c>
      <c r="G20">
        <f t="shared" ca="1" si="2"/>
        <v>-2.9984609515780045</v>
      </c>
      <c r="H20">
        <f t="shared" ca="1" si="3"/>
        <v>3.2309866050104814</v>
      </c>
      <c r="J20" t="s">
        <v>55</v>
      </c>
      <c r="K20">
        <f ca="1">_xlfn.T.INV.2T(0.05,C4+G4-2)</f>
        <v>1.9844674545084788</v>
      </c>
      <c r="L20" t="s">
        <v>10</v>
      </c>
    </row>
    <row r="21" spans="2:12" x14ac:dyDescent="0.25">
      <c r="B21">
        <v>12</v>
      </c>
      <c r="C21">
        <f t="shared" ca="1" si="0"/>
        <v>1.0165229984646127</v>
      </c>
      <c r="D21">
        <f t="shared" ca="1" si="1"/>
        <v>1.2805766435379211</v>
      </c>
      <c r="F21">
        <v>12</v>
      </c>
      <c r="G21">
        <f t="shared" ca="1" si="2"/>
        <v>-0.72787190531798285</v>
      </c>
      <c r="H21">
        <f t="shared" ca="1" si="3"/>
        <v>0.96039755875045996</v>
      </c>
      <c r="J21" t="s">
        <v>55</v>
      </c>
      <c r="K21">
        <f ca="1">_xlfn.T.INV.2T(0.01,C4+G4-2)</f>
        <v>2.6269310957563716</v>
      </c>
      <c r="L21" t="s">
        <v>11</v>
      </c>
    </row>
    <row r="22" spans="2:12" x14ac:dyDescent="0.25">
      <c r="B22">
        <v>13</v>
      </c>
      <c r="C22">
        <f t="shared" ca="1" si="0"/>
        <v>3.1113561738009281</v>
      </c>
      <c r="D22">
        <f t="shared" ca="1" si="1"/>
        <v>3.3754098188742363</v>
      </c>
      <c r="F22">
        <v>13</v>
      </c>
      <c r="G22">
        <f t="shared" ca="1" si="2"/>
        <v>-1.0778319227849995</v>
      </c>
      <c r="H22">
        <f t="shared" ca="1" si="3"/>
        <v>1.3103575762174766</v>
      </c>
    </row>
    <row r="23" spans="2:12" x14ac:dyDescent="0.25">
      <c r="B23">
        <v>14</v>
      </c>
      <c r="C23">
        <f t="shared" ca="1" si="0"/>
        <v>-1.271013459242254</v>
      </c>
      <c r="D23">
        <f t="shared" ca="1" si="1"/>
        <v>1.0069598141689455</v>
      </c>
      <c r="F23">
        <v>14</v>
      </c>
      <c r="G23">
        <f t="shared" ca="1" si="2"/>
        <v>0.78140725615025686</v>
      </c>
      <c r="H23">
        <f t="shared" ca="1" si="3"/>
        <v>0.54888160271777975</v>
      </c>
    </row>
    <row r="24" spans="2:12" x14ac:dyDescent="0.25">
      <c r="B24">
        <v>15</v>
      </c>
      <c r="C24">
        <f t="shared" ca="1" si="0"/>
        <v>-2.7810385750203555E-3</v>
      </c>
      <c r="D24">
        <f t="shared" ca="1" si="1"/>
        <v>0.26127260649828798</v>
      </c>
      <c r="F24">
        <v>15</v>
      </c>
      <c r="G24">
        <f t="shared" ca="1" si="2"/>
        <v>-1.4993542982953016</v>
      </c>
      <c r="H24">
        <f t="shared" ca="1" si="3"/>
        <v>1.7318799517277788</v>
      </c>
    </row>
    <row r="25" spans="2:12" x14ac:dyDescent="0.25">
      <c r="B25">
        <v>16</v>
      </c>
      <c r="C25">
        <f t="shared" ca="1" si="0"/>
        <v>-0.1774728416359328</v>
      </c>
      <c r="D25">
        <f t="shared" ca="1" si="1"/>
        <v>8.6580803437375564E-2</v>
      </c>
      <c r="F25">
        <v>16</v>
      </c>
      <c r="G25">
        <f t="shared" ca="1" si="2"/>
        <v>-1.4905100387294743</v>
      </c>
      <c r="H25">
        <f t="shared" ca="1" si="3"/>
        <v>1.7230356921619514</v>
      </c>
    </row>
    <row r="26" spans="2:12" x14ac:dyDescent="0.25">
      <c r="B26">
        <v>17</v>
      </c>
      <c r="C26">
        <f t="shared" ca="1" si="0"/>
        <v>0.76394580130607714</v>
      </c>
      <c r="D26">
        <f t="shared" ca="1" si="1"/>
        <v>1.0279994463793856</v>
      </c>
      <c r="F26">
        <v>17</v>
      </c>
      <c r="G26">
        <f t="shared" ca="1" si="2"/>
        <v>0.61757675618217278</v>
      </c>
      <c r="H26">
        <f t="shared" ca="1" si="3"/>
        <v>0.38505110274969567</v>
      </c>
    </row>
    <row r="27" spans="2:12" x14ac:dyDescent="0.25">
      <c r="B27">
        <v>18</v>
      </c>
      <c r="C27">
        <f t="shared" ca="1" si="0"/>
        <v>-1.0427121513706279</v>
      </c>
      <c r="D27">
        <f t="shared" ca="1" si="1"/>
        <v>0.77865850629731947</v>
      </c>
      <c r="F27">
        <v>18</v>
      </c>
      <c r="G27">
        <f t="shared" ca="1" si="2"/>
        <v>1.238491244565348</v>
      </c>
      <c r="H27">
        <f t="shared" ca="1" si="3"/>
        <v>1.0059655911328709</v>
      </c>
    </row>
    <row r="28" spans="2:12" x14ac:dyDescent="0.25">
      <c r="B28">
        <v>19</v>
      </c>
      <c r="C28">
        <f t="shared" ca="1" si="0"/>
        <v>-0.16771155309738231</v>
      </c>
      <c r="D28">
        <f t="shared" ca="1" si="1"/>
        <v>9.6342091975926053E-2</v>
      </c>
      <c r="F28">
        <v>19</v>
      </c>
      <c r="G28">
        <f t="shared" ca="1" si="2"/>
        <v>2.5088850137650748E-2</v>
      </c>
      <c r="H28">
        <f t="shared" ca="1" si="3"/>
        <v>0.20743680329482633</v>
      </c>
    </row>
    <row r="29" spans="2:12" x14ac:dyDescent="0.25">
      <c r="B29">
        <v>20</v>
      </c>
      <c r="C29">
        <f t="shared" ca="1" si="0"/>
        <v>-1.3249075633876037</v>
      </c>
      <c r="D29">
        <f t="shared" ca="1" si="1"/>
        <v>1.0608539183142953</v>
      </c>
      <c r="F29">
        <v>20</v>
      </c>
      <c r="G29">
        <f t="shared" ca="1" si="2"/>
        <v>1.6306752753757023</v>
      </c>
      <c r="H29">
        <f t="shared" ca="1" si="3"/>
        <v>1.3981496219432252</v>
      </c>
    </row>
    <row r="30" spans="2:12" x14ac:dyDescent="0.25">
      <c r="B30">
        <v>21</v>
      </c>
      <c r="C30">
        <f t="shared" ca="1" si="0"/>
        <v>-0.83553230552909941</v>
      </c>
      <c r="D30">
        <f t="shared" ca="1" si="1"/>
        <v>0.5714786604557911</v>
      </c>
      <c r="F30">
        <v>21</v>
      </c>
      <c r="G30">
        <f t="shared" ca="1" si="2"/>
        <v>0.42829242099380049</v>
      </c>
      <c r="H30">
        <f t="shared" ca="1" si="3"/>
        <v>0.19576676756132341</v>
      </c>
    </row>
    <row r="31" spans="2:12" x14ac:dyDescent="0.25">
      <c r="B31">
        <v>22</v>
      </c>
      <c r="C31">
        <f t="shared" ca="1" si="0"/>
        <v>-6.1759078655060418E-2</v>
      </c>
      <c r="D31">
        <f t="shared" ca="1" si="1"/>
        <v>0.20229456641824795</v>
      </c>
      <c r="F31">
        <v>22</v>
      </c>
      <c r="G31">
        <f t="shared" ca="1" si="2"/>
        <v>0.75664670977346282</v>
      </c>
      <c r="H31">
        <f t="shared" ca="1" si="3"/>
        <v>0.52412105634098571</v>
      </c>
    </row>
    <row r="32" spans="2:12" x14ac:dyDescent="0.25">
      <c r="B32">
        <v>23</v>
      </c>
      <c r="C32">
        <f t="shared" ca="1" si="0"/>
        <v>0.96565442430657278</v>
      </c>
      <c r="D32">
        <f t="shared" ca="1" si="1"/>
        <v>1.2297080693798812</v>
      </c>
      <c r="F32">
        <v>23</v>
      </c>
      <c r="G32">
        <f t="shared" ca="1" si="2"/>
        <v>-0.60457067836306777</v>
      </c>
      <c r="H32">
        <f t="shared" ca="1" si="3"/>
        <v>0.83709633179554488</v>
      </c>
    </row>
    <row r="33" spans="2:8" x14ac:dyDescent="0.25">
      <c r="B33">
        <v>24</v>
      </c>
      <c r="C33">
        <f t="shared" ca="1" si="0"/>
        <v>0.6475348496014659</v>
      </c>
      <c r="D33">
        <f t="shared" ca="1" si="1"/>
        <v>0.91158849467477432</v>
      </c>
      <c r="F33">
        <v>24</v>
      </c>
      <c r="G33">
        <f t="shared" ca="1" si="2"/>
        <v>0.21173657440649185</v>
      </c>
      <c r="H33">
        <f t="shared" ca="1" si="3"/>
        <v>2.078907902598523E-2</v>
      </c>
    </row>
    <row r="34" spans="2:8" x14ac:dyDescent="0.25">
      <c r="B34">
        <v>25</v>
      </c>
      <c r="C34">
        <f t="shared" ca="1" si="0"/>
        <v>-0.32913040128034488</v>
      </c>
      <c r="D34">
        <f t="shared" ca="1" si="1"/>
        <v>6.5076756207036512E-2</v>
      </c>
      <c r="F34">
        <v>25</v>
      </c>
      <c r="G34">
        <f t="shared" ca="1" si="2"/>
        <v>1.6096341260430016</v>
      </c>
      <c r="H34">
        <f t="shared" ca="1" si="3"/>
        <v>1.3771084726105245</v>
      </c>
    </row>
    <row r="35" spans="2:8" x14ac:dyDescent="0.25">
      <c r="B35">
        <v>26</v>
      </c>
      <c r="C35">
        <f t="shared" ca="1" si="0"/>
        <v>-2.0676197390118979E-2</v>
      </c>
      <c r="D35">
        <f t="shared" ca="1" si="1"/>
        <v>0.24337744768318939</v>
      </c>
      <c r="F35">
        <v>26</v>
      </c>
      <c r="G35">
        <f t="shared" ca="1" si="2"/>
        <v>0.62514781914641737</v>
      </c>
      <c r="H35">
        <f t="shared" ca="1" si="3"/>
        <v>0.39262216571394026</v>
      </c>
    </row>
    <row r="36" spans="2:8" x14ac:dyDescent="0.25">
      <c r="B36">
        <v>27</v>
      </c>
      <c r="C36">
        <f t="shared" ca="1" si="0"/>
        <v>0.23905241471231672</v>
      </c>
      <c r="D36">
        <f t="shared" ca="1" si="1"/>
        <v>0.50310605978562506</v>
      </c>
      <c r="F36">
        <v>27</v>
      </c>
      <c r="G36">
        <f t="shared" ca="1" si="2"/>
        <v>2.540997225477887</v>
      </c>
      <c r="H36">
        <f t="shared" ca="1" si="3"/>
        <v>2.3084715720454101</v>
      </c>
    </row>
    <row r="37" spans="2:8" x14ac:dyDescent="0.25">
      <c r="B37">
        <v>28</v>
      </c>
      <c r="C37">
        <f t="shared" ca="1" si="0"/>
        <v>-0.44841265035559469</v>
      </c>
      <c r="D37">
        <f t="shared" ca="1" si="1"/>
        <v>0.18435900528228633</v>
      </c>
      <c r="F37">
        <v>28</v>
      </c>
      <c r="G37">
        <f t="shared" ca="1" si="2"/>
        <v>0.49916949075544947</v>
      </c>
      <c r="H37">
        <f t="shared" ca="1" si="3"/>
        <v>0.26664383732297237</v>
      </c>
    </row>
    <row r="38" spans="2:8" x14ac:dyDescent="0.25">
      <c r="B38">
        <v>29</v>
      </c>
      <c r="C38">
        <f t="shared" ca="1" si="0"/>
        <v>8.3995290978807688E-2</v>
      </c>
      <c r="D38">
        <f t="shared" ca="1" si="1"/>
        <v>0.34804893605211606</v>
      </c>
      <c r="F38">
        <v>29</v>
      </c>
      <c r="G38">
        <f t="shared" ca="1" si="2"/>
        <v>1.9109184776386911E-2</v>
      </c>
      <c r="H38">
        <f t="shared" ca="1" si="3"/>
        <v>0.21341646865609018</v>
      </c>
    </row>
    <row r="39" spans="2:8" x14ac:dyDescent="0.25">
      <c r="B39">
        <v>30</v>
      </c>
      <c r="C39">
        <f t="shared" ca="1" si="0"/>
        <v>-0.64110036859985209</v>
      </c>
      <c r="D39">
        <f t="shared" ca="1" si="1"/>
        <v>0.37704672352654373</v>
      </c>
      <c r="F39">
        <v>30</v>
      </c>
      <c r="G39">
        <f t="shared" ca="1" si="2"/>
        <v>-1.9650224808072982</v>
      </c>
      <c r="H39">
        <f t="shared" ca="1" si="3"/>
        <v>2.1975481342397751</v>
      </c>
    </row>
    <row r="40" spans="2:8" x14ac:dyDescent="0.25">
      <c r="B40">
        <v>31</v>
      </c>
      <c r="C40">
        <f t="shared" ca="1" si="0"/>
        <v>-0.64160120338817406</v>
      </c>
      <c r="D40">
        <f t="shared" ca="1" si="1"/>
        <v>0.37754755831486569</v>
      </c>
      <c r="F40">
        <v>31</v>
      </c>
      <c r="G40">
        <f t="shared" ca="1" si="2"/>
        <v>1.1938582653013192</v>
      </c>
      <c r="H40">
        <f t="shared" ca="1" si="3"/>
        <v>0.96133261186884211</v>
      </c>
    </row>
    <row r="41" spans="2:8" x14ac:dyDescent="0.25">
      <c r="B41">
        <v>32</v>
      </c>
      <c r="C41">
        <f t="shared" ca="1" si="0"/>
        <v>-1.0013789035261909</v>
      </c>
      <c r="D41">
        <f t="shared" ca="1" si="1"/>
        <v>0.73732525845288244</v>
      </c>
      <c r="F41">
        <v>32</v>
      </c>
      <c r="G41">
        <f t="shared" ca="1" si="2"/>
        <v>-0.78415347276939695</v>
      </c>
      <c r="H41">
        <f t="shared" ca="1" si="3"/>
        <v>1.016679126201874</v>
      </c>
    </row>
    <row r="42" spans="2:8" x14ac:dyDescent="0.25">
      <c r="B42">
        <v>33</v>
      </c>
      <c r="C42">
        <f t="shared" ca="1" si="0"/>
        <v>-2.0526434342981092</v>
      </c>
      <c r="D42">
        <f t="shared" ca="1" si="1"/>
        <v>1.7885897892248008</v>
      </c>
      <c r="F42">
        <v>33</v>
      </c>
      <c r="G42">
        <f t="shared" ca="1" si="2"/>
        <v>-7.4878012728128662E-2</v>
      </c>
      <c r="H42">
        <f t="shared" ca="1" si="3"/>
        <v>0.30740366616060577</v>
      </c>
    </row>
    <row r="43" spans="2:8" x14ac:dyDescent="0.25">
      <c r="B43">
        <v>34</v>
      </c>
      <c r="C43">
        <f t="shared" ca="1" si="0"/>
        <v>2.2036416150838916</v>
      </c>
      <c r="D43">
        <f t="shared" ca="1" si="1"/>
        <v>2.4676952601571998</v>
      </c>
      <c r="F43">
        <v>34</v>
      </c>
      <c r="G43">
        <f t="shared" ca="1" si="2"/>
        <v>-2.9958579637451823</v>
      </c>
      <c r="H43">
        <f t="shared" ca="1" si="3"/>
        <v>3.2283836171776592</v>
      </c>
    </row>
    <row r="44" spans="2:8" x14ac:dyDescent="0.25">
      <c r="B44">
        <v>35</v>
      </c>
      <c r="C44">
        <f t="shared" ca="1" si="0"/>
        <v>-0.60986815714210973</v>
      </c>
      <c r="D44">
        <f t="shared" ca="1" si="1"/>
        <v>0.34581451206880137</v>
      </c>
      <c r="F44">
        <v>35</v>
      </c>
      <c r="G44">
        <f t="shared" ca="1" si="2"/>
        <v>2.7685375366664453</v>
      </c>
      <c r="H44">
        <f t="shared" ca="1" si="3"/>
        <v>2.5360118832339684</v>
      </c>
    </row>
    <row r="45" spans="2:8" x14ac:dyDescent="0.25">
      <c r="B45">
        <v>36</v>
      </c>
      <c r="C45">
        <f t="shared" ca="1" si="0"/>
        <v>-0.96579459628737085</v>
      </c>
      <c r="D45">
        <f t="shared" ca="1" si="1"/>
        <v>0.70174095121406244</v>
      </c>
      <c r="F45">
        <v>36</v>
      </c>
      <c r="G45">
        <f t="shared" ca="1" si="2"/>
        <v>-0.88508742864598444</v>
      </c>
      <c r="H45">
        <f t="shared" ca="1" si="3"/>
        <v>1.1176130820784616</v>
      </c>
    </row>
    <row r="46" spans="2:8" x14ac:dyDescent="0.25">
      <c r="B46">
        <v>37</v>
      </c>
      <c r="C46">
        <f t="shared" ca="1" si="0"/>
        <v>-0.71776526030611032</v>
      </c>
      <c r="D46">
        <f t="shared" ca="1" si="1"/>
        <v>0.45371161523280196</v>
      </c>
      <c r="F46">
        <v>37</v>
      </c>
      <c r="G46">
        <f t="shared" ca="1" si="2"/>
        <v>-0.61704299120703032</v>
      </c>
      <c r="H46">
        <f t="shared" ca="1" si="3"/>
        <v>0.84956864463950743</v>
      </c>
    </row>
    <row r="47" spans="2:8" x14ac:dyDescent="0.25">
      <c r="B47">
        <v>38</v>
      </c>
      <c r="C47">
        <f t="shared" ca="1" si="0"/>
        <v>-1.7960411721208551</v>
      </c>
      <c r="D47">
        <f t="shared" ca="1" si="1"/>
        <v>1.5319875270475467</v>
      </c>
      <c r="F47">
        <v>38</v>
      </c>
      <c r="G47">
        <f t="shared" ca="1" si="2"/>
        <v>1.4343972399340348</v>
      </c>
      <c r="H47">
        <f t="shared" ca="1" si="3"/>
        <v>1.2018715865015577</v>
      </c>
    </row>
    <row r="48" spans="2:8" x14ac:dyDescent="0.25">
      <c r="B48">
        <v>39</v>
      </c>
      <c r="C48">
        <f t="shared" ca="1" si="0"/>
        <v>-3.042578146987692</v>
      </c>
      <c r="D48">
        <f t="shared" ca="1" si="1"/>
        <v>2.7785245019143838</v>
      </c>
      <c r="F48">
        <v>39</v>
      </c>
      <c r="G48">
        <f t="shared" ca="1" si="2"/>
        <v>-0.4057473529999337</v>
      </c>
      <c r="H48">
        <f t="shared" ca="1" si="3"/>
        <v>0.63827300643241081</v>
      </c>
    </row>
    <row r="49" spans="2:8" x14ac:dyDescent="0.25">
      <c r="B49">
        <v>40</v>
      </c>
      <c r="C49">
        <f t="shared" ca="1" si="0"/>
        <v>-0.19897688886627185</v>
      </c>
      <c r="D49">
        <f t="shared" ca="1" si="1"/>
        <v>6.5076756207036512E-2</v>
      </c>
      <c r="F49">
        <v>40</v>
      </c>
      <c r="G49">
        <f t="shared" ca="1" si="2"/>
        <v>1.2004990130859048</v>
      </c>
      <c r="H49">
        <f t="shared" ca="1" si="3"/>
        <v>0.96797335965342768</v>
      </c>
    </row>
    <row r="50" spans="2:8" x14ac:dyDescent="0.25">
      <c r="B50">
        <v>41</v>
      </c>
      <c r="C50">
        <f t="shared" ca="1" si="0"/>
        <v>-0.75083699779783541</v>
      </c>
      <c r="D50">
        <f t="shared" ca="1" si="1"/>
        <v>0.48678335272452705</v>
      </c>
      <c r="F50">
        <v>41</v>
      </c>
      <c r="G50">
        <f t="shared" ca="1" si="2"/>
        <v>-1.2963655914109122</v>
      </c>
      <c r="H50">
        <f t="shared" ca="1" si="3"/>
        <v>1.5288912448433893</v>
      </c>
    </row>
    <row r="51" spans="2:8" x14ac:dyDescent="0.25">
      <c r="B51">
        <v>42</v>
      </c>
      <c r="C51">
        <f t="shared" ca="1" si="0"/>
        <v>1.4667611178082818</v>
      </c>
      <c r="D51">
        <f t="shared" ca="1" si="1"/>
        <v>1.7308147628815902</v>
      </c>
      <c r="F51">
        <v>42</v>
      </c>
      <c r="G51">
        <f t="shared" ca="1" si="2"/>
        <v>-1.1324894472009139</v>
      </c>
      <c r="H51">
        <f t="shared" ca="1" si="3"/>
        <v>1.365015100633391</v>
      </c>
    </row>
    <row r="52" spans="2:8" x14ac:dyDescent="0.25">
      <c r="B52">
        <v>43</v>
      </c>
      <c r="C52">
        <f t="shared" ca="1" si="0"/>
        <v>0.46665142390733078</v>
      </c>
      <c r="D52">
        <f t="shared" ca="1" si="1"/>
        <v>0.73070506898063914</v>
      </c>
      <c r="F52">
        <v>43</v>
      </c>
      <c r="G52">
        <f t="shared" ca="1" si="2"/>
        <v>-0.21475690988181295</v>
      </c>
      <c r="H52">
        <f t="shared" ca="1" si="3"/>
        <v>0.44728256331429006</v>
      </c>
    </row>
    <row r="53" spans="2:8" x14ac:dyDescent="0.25">
      <c r="B53">
        <v>44</v>
      </c>
      <c r="C53">
        <f t="shared" ca="1" si="0"/>
        <v>-0.35131031808535473</v>
      </c>
      <c r="D53">
        <f t="shared" ca="1" si="1"/>
        <v>8.7256673012046371E-2</v>
      </c>
      <c r="F53">
        <v>44</v>
      </c>
      <c r="G53">
        <f t="shared" ca="1" si="2"/>
        <v>-2.0530456047427421</v>
      </c>
      <c r="H53">
        <f t="shared" ca="1" si="3"/>
        <v>2.285571258175219</v>
      </c>
    </row>
    <row r="54" spans="2:8" x14ac:dyDescent="0.25">
      <c r="B54">
        <v>45</v>
      </c>
      <c r="C54">
        <f t="shared" ca="1" si="0"/>
        <v>-0.33644690129336774</v>
      </c>
      <c r="D54">
        <f t="shared" ca="1" si="1"/>
        <v>7.2393256220059377E-2</v>
      </c>
      <c r="F54">
        <v>45</v>
      </c>
      <c r="G54">
        <f t="shared" ca="1" si="2"/>
        <v>-1.2305992299839597</v>
      </c>
      <c r="H54">
        <f t="shared" ca="1" si="3"/>
        <v>1.4631248834164368</v>
      </c>
    </row>
    <row r="55" spans="2:8" x14ac:dyDescent="0.25">
      <c r="B55">
        <v>46</v>
      </c>
      <c r="C55">
        <f t="shared" ca="1" si="0"/>
        <v>0.69502649177356768</v>
      </c>
      <c r="D55">
        <f t="shared" ca="1" si="1"/>
        <v>0.95908013684687599</v>
      </c>
      <c r="F55">
        <v>46</v>
      </c>
      <c r="G55">
        <f t="shared" ca="1" si="2"/>
        <v>0.45708977330388717</v>
      </c>
      <c r="H55">
        <f t="shared" ca="1" si="3"/>
        <v>0.22456411987141009</v>
      </c>
    </row>
    <row r="56" spans="2:8" x14ac:dyDescent="0.25">
      <c r="B56">
        <v>47</v>
      </c>
      <c r="C56">
        <f t="shared" ca="1" si="0"/>
        <v>1.0253783732726309</v>
      </c>
      <c r="D56">
        <f t="shared" ca="1" si="1"/>
        <v>1.2894320183459393</v>
      </c>
      <c r="F56">
        <v>47</v>
      </c>
      <c r="G56">
        <f t="shared" ca="1" si="2"/>
        <v>6.14632021377719</v>
      </c>
      <c r="H56">
        <f t="shared" ca="1" si="3"/>
        <v>5.9137945603447131</v>
      </c>
    </row>
    <row r="57" spans="2:8" x14ac:dyDescent="0.25">
      <c r="B57">
        <v>48</v>
      </c>
      <c r="C57">
        <f t="shared" ca="1" si="0"/>
        <v>-0.18182396140245399</v>
      </c>
      <c r="D57">
        <f t="shared" ca="1" si="1"/>
        <v>8.222968367085437E-2</v>
      </c>
      <c r="F57">
        <v>48</v>
      </c>
      <c r="G57">
        <f t="shared" ca="1" si="2"/>
        <v>0.25331473245846231</v>
      </c>
      <c r="H57">
        <f t="shared" ca="1" si="3"/>
        <v>2.078907902598523E-2</v>
      </c>
    </row>
    <row r="58" spans="2:8" x14ac:dyDescent="0.25">
      <c r="B58">
        <v>49</v>
      </c>
      <c r="C58">
        <f t="shared" ca="1" si="0"/>
        <v>-0.60506326506304209</v>
      </c>
      <c r="D58">
        <f t="shared" ca="1" si="1"/>
        <v>0.34100961998973373</v>
      </c>
      <c r="F58">
        <v>49</v>
      </c>
      <c r="G58">
        <f t="shared" ca="1" si="2"/>
        <v>-1.0028751282545034</v>
      </c>
      <c r="H58">
        <f t="shared" ca="1" si="3"/>
        <v>1.2354007816869805</v>
      </c>
    </row>
    <row r="59" spans="2:8" x14ac:dyDescent="0.25">
      <c r="B59">
        <v>50</v>
      </c>
      <c r="C59">
        <f t="shared" ca="1" si="0"/>
        <v>0.69645182608215772</v>
      </c>
      <c r="D59">
        <f t="shared" ca="1" si="1"/>
        <v>0.96050547115546614</v>
      </c>
      <c r="F59">
        <v>50</v>
      </c>
      <c r="G59">
        <f t="shared" ca="1" si="2"/>
        <v>-2.2008034979421964</v>
      </c>
      <c r="H59">
        <f t="shared" ca="1" si="3"/>
        <v>2.4333291513746733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6"/>
  <sheetViews>
    <sheetView workbookViewId="0">
      <selection activeCell="L32" sqref="L32"/>
    </sheetView>
  </sheetViews>
  <sheetFormatPr defaultRowHeight="15" x14ac:dyDescent="0.25"/>
  <cols>
    <col min="6" max="6" width="10" customWidth="1"/>
  </cols>
  <sheetData>
    <row r="1" spans="1:24" x14ac:dyDescent="0.25">
      <c r="A1" t="s">
        <v>12</v>
      </c>
    </row>
    <row r="2" spans="1:24" ht="15.75" x14ac:dyDescent="0.3">
      <c r="A2" t="s">
        <v>13</v>
      </c>
      <c r="T2" s="5" t="s">
        <v>14</v>
      </c>
    </row>
    <row r="3" spans="1:24" ht="15.75" x14ac:dyDescent="0.3">
      <c r="A3" t="s">
        <v>15</v>
      </c>
      <c r="I3" s="1" t="s">
        <v>63</v>
      </c>
      <c r="J3">
        <f>AVERAGE(J9:J27)</f>
        <v>0.52850282040182739</v>
      </c>
      <c r="T3" s="5" t="s">
        <v>16</v>
      </c>
    </row>
    <row r="4" spans="1:24" x14ac:dyDescent="0.25">
      <c r="A4" t="s">
        <v>45</v>
      </c>
      <c r="F4" s="1" t="s">
        <v>70</v>
      </c>
      <c r="G4">
        <f>COUNT(G9:G27)</f>
        <v>19</v>
      </c>
      <c r="I4" s="1" t="s">
        <v>64</v>
      </c>
      <c r="J4">
        <f>AVERAGE(J28:J47)</f>
        <v>0.85255963892151532</v>
      </c>
      <c r="T4" s="6" t="s">
        <v>17</v>
      </c>
    </row>
    <row r="5" spans="1:24" x14ac:dyDescent="0.25">
      <c r="A5" s="1" t="s">
        <v>18</v>
      </c>
      <c r="B5">
        <f>COUNT(C9:C47)</f>
        <v>39</v>
      </c>
      <c r="E5">
        <f>4/B5</f>
        <v>0.10256410256410256</v>
      </c>
      <c r="F5" s="1" t="s">
        <v>59</v>
      </c>
      <c r="G5">
        <f>MEDIAN(G9:G27)</f>
        <v>-1.3194458316708435E-2</v>
      </c>
      <c r="H5">
        <f>MEDIAN(H9:H28)</f>
        <v>-0.11013607685824346</v>
      </c>
      <c r="I5" s="1" t="s">
        <v>61</v>
      </c>
      <c r="J5">
        <f>_xlfn.VAR.S(J9:J27)</f>
        <v>0.13767476614336069</v>
      </c>
      <c r="T5" s="7" t="s">
        <v>19</v>
      </c>
    </row>
    <row r="6" spans="1:24" x14ac:dyDescent="0.25">
      <c r="A6" s="1" t="s">
        <v>20</v>
      </c>
      <c r="B6">
        <f>AVERAGE(B9:B47)</f>
        <v>84.483846153846159</v>
      </c>
      <c r="C6">
        <f>AVERAGE(C9:C47)</f>
        <v>-8.3047302297244131E-4</v>
      </c>
      <c r="D6">
        <f>AVERAGE(D9:D47)</f>
        <v>1.3948955950418633E-15</v>
      </c>
      <c r="F6" s="1" t="s">
        <v>60</v>
      </c>
      <c r="G6">
        <f>MEDIAN(G28:G47)</f>
        <v>-0.24010015940488844</v>
      </c>
      <c r="H6">
        <f>MEDIAN(H29:H47)</f>
        <v>-0.23999555426879909</v>
      </c>
      <c r="I6" s="1" t="s">
        <v>62</v>
      </c>
      <c r="J6">
        <f>_xlfn.VAR.S(J28:J47)</f>
        <v>1.2620477748987899</v>
      </c>
      <c r="T6" s="6" t="s">
        <v>21</v>
      </c>
    </row>
    <row r="7" spans="1:24" x14ac:dyDescent="0.25">
      <c r="A7" s="1" t="s">
        <v>22</v>
      </c>
      <c r="B7">
        <f>_xlfn.STDEV.S(B9:B47)</f>
        <v>3.3796516601758757</v>
      </c>
      <c r="C7">
        <f>_xlfn.STDEV.S(C9:C47)</f>
        <v>0.50442012895834565</v>
      </c>
      <c r="D7">
        <f>SQRT((B5-1)/(B5-2)*_xlfn.STDEV.S(D9:D47)^2)</f>
        <v>0.20732430770083438</v>
      </c>
      <c r="F7" s="1" t="s">
        <v>71</v>
      </c>
      <c r="G7">
        <f>COUNT(G28:G47)</f>
        <v>20</v>
      </c>
      <c r="J7" s="4"/>
      <c r="T7" s="6" t="s">
        <v>23</v>
      </c>
    </row>
    <row r="8" spans="1:24" x14ac:dyDescent="0.25"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4" t="s">
        <v>29</v>
      </c>
      <c r="H8" s="4" t="s">
        <v>69</v>
      </c>
      <c r="I8" s="4" t="s">
        <v>30</v>
      </c>
      <c r="J8" s="4" t="s">
        <v>58</v>
      </c>
    </row>
    <row r="9" spans="1:24" x14ac:dyDescent="0.25">
      <c r="B9">
        <v>80.02</v>
      </c>
      <c r="C9">
        <v>-0.71879382889199261</v>
      </c>
      <c r="D9">
        <f t="shared" ref="D9:D47" si="0">C9-($T$11*B9+$U$11)</f>
        <v>-0.10897908087000507</v>
      </c>
      <c r="E9">
        <f t="shared" ref="E9:E47" si="1">1/$B$5+1/($B$5-1)*((B9-$B$6)/$B$7)^2</f>
        <v>7.1549299106177355E-2</v>
      </c>
      <c r="F9">
        <f t="shared" ref="F9:F47" si="2">E9*$B$5/2</f>
        <v>1.3952113325704585</v>
      </c>
      <c r="G9">
        <f t="shared" ref="G9:G47" si="3">D9/$D$7/SQRT(1-E9)</f>
        <v>-0.54552353625569294</v>
      </c>
      <c r="H9">
        <f>G9*SQRT(($B$5-3)/($B$5-2-G9^2))</f>
        <v>-0.54027825306722965</v>
      </c>
      <c r="I9">
        <f t="shared" ref="I9:I47" si="4">$U$11+$T$11*B9</f>
        <v>-0.60981474802198754</v>
      </c>
      <c r="J9">
        <f>ABS(H9-H$5)</f>
        <v>0.4301421762089862</v>
      </c>
    </row>
    <row r="10" spans="1:24" x14ac:dyDescent="0.25">
      <c r="B10">
        <v>80.13</v>
      </c>
      <c r="C10">
        <v>-0.69935328620845749</v>
      </c>
      <c r="D10">
        <f t="shared" si="0"/>
        <v>-0.10454538831999582</v>
      </c>
      <c r="E10">
        <f t="shared" si="1"/>
        <v>6.9314594373671323E-2</v>
      </c>
      <c r="F10">
        <f t="shared" si="2"/>
        <v>1.3516345902865907</v>
      </c>
      <c r="G10">
        <f t="shared" si="3"/>
        <v>-0.52270084767361913</v>
      </c>
      <c r="H10">
        <f t="shared" ref="H10:H47" si="5">G10*SQRT(($B$5-3)/($B$5-2-G10^2))</f>
        <v>-0.51750315927140755</v>
      </c>
      <c r="I10">
        <f t="shared" si="4"/>
        <v>-0.59480789788846167</v>
      </c>
      <c r="J10">
        <f t="shared" ref="J10:J27" si="6">ABS(H10-H$5)</f>
        <v>0.40736708241316411</v>
      </c>
      <c r="T10" s="8" t="s">
        <v>31</v>
      </c>
      <c r="W10" s="9" t="s">
        <v>32</v>
      </c>
      <c r="X10" s="10"/>
    </row>
    <row r="11" spans="1:24" x14ac:dyDescent="0.25">
      <c r="B11">
        <v>80.25</v>
      </c>
      <c r="C11">
        <v>-0.89470061940811785</v>
      </c>
      <c r="D11">
        <f t="shared" si="0"/>
        <v>-0.31626383075623277</v>
      </c>
      <c r="E11">
        <f t="shared" si="1"/>
        <v>6.6940323608407709E-2</v>
      </c>
      <c r="F11">
        <f t="shared" si="2"/>
        <v>1.3053363103639504</v>
      </c>
      <c r="G11">
        <f t="shared" si="3"/>
        <v>-1.5792271167451939</v>
      </c>
      <c r="H11">
        <f t="shared" si="5"/>
        <v>-1.6130516416743019</v>
      </c>
      <c r="I11">
        <f t="shared" si="4"/>
        <v>-0.57843678865188508</v>
      </c>
      <c r="J11">
        <f t="shared" si="6"/>
        <v>1.5029155648160584</v>
      </c>
      <c r="T11">
        <f t="array" ref="T11:U15">LINEST(C9:C47,B9:B47,TRUE,TRUE)</f>
        <v>0.13642591030479378</v>
      </c>
      <c r="U11">
        <v>-11.526616090611586</v>
      </c>
      <c r="W11" s="10" t="s">
        <v>34</v>
      </c>
      <c r="X11" s="10" t="s">
        <v>35</v>
      </c>
    </row>
    <row r="12" spans="1:24" x14ac:dyDescent="0.25">
      <c r="B12">
        <v>80.64</v>
      </c>
      <c r="C12">
        <v>-0.31615554852987948</v>
      </c>
      <c r="D12">
        <f t="shared" si="0"/>
        <v>0.20907513510313613</v>
      </c>
      <c r="E12">
        <f t="shared" si="1"/>
        <v>5.9682198720858039E-2</v>
      </c>
      <c r="F12">
        <f t="shared" si="2"/>
        <v>1.1638028750567317</v>
      </c>
      <c r="G12">
        <f t="shared" si="3"/>
        <v>1.0399556848483045</v>
      </c>
      <c r="H12">
        <f t="shared" si="5"/>
        <v>1.0411349728554198</v>
      </c>
      <c r="I12">
        <f t="shared" si="4"/>
        <v>-0.52523068363301562</v>
      </c>
      <c r="J12">
        <f t="shared" si="6"/>
        <v>1.1512710497136633</v>
      </c>
      <c r="T12">
        <v>9.951452756652034E-3</v>
      </c>
      <c r="U12">
        <v>0.84139220762160993</v>
      </c>
      <c r="W12" s="10" t="s">
        <v>33</v>
      </c>
      <c r="X12" s="10" t="s">
        <v>36</v>
      </c>
    </row>
    <row r="13" spans="1:24" x14ac:dyDescent="0.25">
      <c r="B13">
        <v>80.67</v>
      </c>
      <c r="C13">
        <v>-0.46502424062530812</v>
      </c>
      <c r="D13">
        <f t="shared" si="0"/>
        <v>5.6113665698564241E-2</v>
      </c>
      <c r="E13">
        <f t="shared" si="1"/>
        <v>5.9152911156629288E-2</v>
      </c>
      <c r="F13">
        <f t="shared" si="2"/>
        <v>1.1534817675542712</v>
      </c>
      <c r="G13">
        <f t="shared" si="3"/>
        <v>0.27903513663140561</v>
      </c>
      <c r="H13">
        <f t="shared" si="5"/>
        <v>0.27552861903265841</v>
      </c>
      <c r="I13">
        <f t="shared" si="4"/>
        <v>-0.52113790632387236</v>
      </c>
      <c r="J13">
        <f t="shared" si="6"/>
        <v>0.38566469589090185</v>
      </c>
      <c r="T13">
        <v>0.83551217519808096</v>
      </c>
      <c r="U13">
        <v>0.20732430770083438</v>
      </c>
      <c r="W13" s="10" t="s">
        <v>37</v>
      </c>
      <c r="X13" s="10" t="s">
        <v>38</v>
      </c>
    </row>
    <row r="14" spans="1:24" x14ac:dyDescent="0.25">
      <c r="B14">
        <v>80.69</v>
      </c>
      <c r="C14">
        <v>-0.69569011489795041</v>
      </c>
      <c r="D14">
        <f t="shared" si="0"/>
        <v>-0.17728072678017415</v>
      </c>
      <c r="E14">
        <f t="shared" si="1"/>
        <v>5.8802356727684295E-2</v>
      </c>
      <c r="F14">
        <f t="shared" si="2"/>
        <v>1.1466459561898437</v>
      </c>
      <c r="G14">
        <f t="shared" si="3"/>
        <v>-0.88139561209720652</v>
      </c>
      <c r="H14">
        <f t="shared" si="5"/>
        <v>-0.87867663191835965</v>
      </c>
      <c r="I14">
        <f t="shared" si="4"/>
        <v>-0.51840938811777626</v>
      </c>
      <c r="J14">
        <f t="shared" si="6"/>
        <v>0.7685405550601162</v>
      </c>
      <c r="T14">
        <v>187.94066077265259</v>
      </c>
      <c r="U14">
        <v>37</v>
      </c>
      <c r="W14" s="10" t="s">
        <v>39</v>
      </c>
      <c r="X14" s="10" t="s">
        <v>40</v>
      </c>
    </row>
    <row r="15" spans="1:24" x14ac:dyDescent="0.25">
      <c r="B15">
        <v>80.69</v>
      </c>
      <c r="C15">
        <v>-0.39390181632504306</v>
      </c>
      <c r="D15">
        <f t="shared" si="0"/>
        <v>0.1245075717927332</v>
      </c>
      <c r="E15">
        <f t="shared" si="1"/>
        <v>5.8802356727684295E-2</v>
      </c>
      <c r="F15">
        <f t="shared" si="2"/>
        <v>1.1466459561898437</v>
      </c>
      <c r="G15">
        <f t="shared" si="3"/>
        <v>0.61902063153807863</v>
      </c>
      <c r="H15">
        <f t="shared" si="5"/>
        <v>0.61378475959522771</v>
      </c>
      <c r="I15">
        <f t="shared" si="4"/>
        <v>-0.51840938811777626</v>
      </c>
      <c r="J15">
        <f t="shared" si="6"/>
        <v>0.72392083645347116</v>
      </c>
      <c r="T15">
        <v>8.0783226900831338</v>
      </c>
      <c r="U15">
        <v>1.5903846368543193</v>
      </c>
      <c r="W15" s="10" t="s">
        <v>41</v>
      </c>
      <c r="X15" s="10" t="s">
        <v>42</v>
      </c>
    </row>
    <row r="16" spans="1:24" x14ac:dyDescent="0.25">
      <c r="B16">
        <v>80.709999999999994</v>
      </c>
      <c r="C16">
        <v>-0.36718218072171743</v>
      </c>
      <c r="D16">
        <f t="shared" si="0"/>
        <v>0.14849868918996273</v>
      </c>
      <c r="E16">
        <f t="shared" si="1"/>
        <v>5.8453645456505242E-2</v>
      </c>
      <c r="F16">
        <f t="shared" si="2"/>
        <v>1.1398460864018523</v>
      </c>
      <c r="G16">
        <f t="shared" si="3"/>
        <v>0.73816176009847689</v>
      </c>
      <c r="H16">
        <f t="shared" si="5"/>
        <v>0.73353956609118109</v>
      </c>
      <c r="I16">
        <f t="shared" si="4"/>
        <v>-0.51568086991168016</v>
      </c>
      <c r="J16">
        <f t="shared" si="6"/>
        <v>0.84367564294942454</v>
      </c>
      <c r="T16" s="11"/>
      <c r="U16" s="12"/>
    </row>
    <row r="17" spans="2:39" x14ac:dyDescent="0.25">
      <c r="B17">
        <v>80.739999999999995</v>
      </c>
      <c r="C17">
        <v>-0.63464625262377905</v>
      </c>
      <c r="D17">
        <f t="shared" si="0"/>
        <v>-0.12305816002124215</v>
      </c>
      <c r="E17">
        <f t="shared" si="1"/>
        <v>5.7934034470547673E-2</v>
      </c>
      <c r="F17">
        <f t="shared" si="2"/>
        <v>1.1297136721756795</v>
      </c>
      <c r="G17">
        <f t="shared" si="3"/>
        <v>-0.61153249102997465</v>
      </c>
      <c r="H17">
        <f t="shared" si="5"/>
        <v>-0.60628367584877385</v>
      </c>
      <c r="I17">
        <f t="shared" si="4"/>
        <v>-0.5115880926025369</v>
      </c>
      <c r="J17">
        <f t="shared" si="6"/>
        <v>0.4961475989905304</v>
      </c>
    </row>
    <row r="18" spans="2:39" x14ac:dyDescent="0.25">
      <c r="B18">
        <v>82.35</v>
      </c>
      <c r="C18">
        <v>-0.33468482252141984</v>
      </c>
      <c r="D18">
        <f t="shared" si="0"/>
        <v>-4.2742445509600158E-2</v>
      </c>
      <c r="E18">
        <f t="shared" si="1"/>
        <v>3.6131587097309709E-2</v>
      </c>
      <c r="F18">
        <f t="shared" si="2"/>
        <v>0.70456594839753928</v>
      </c>
      <c r="G18">
        <f t="shared" si="3"/>
        <v>-0.2099908003294938</v>
      </c>
      <c r="H18">
        <f t="shared" si="5"/>
        <v>-0.20725718958535463</v>
      </c>
      <c r="I18">
        <f t="shared" si="4"/>
        <v>-0.29194237701181969</v>
      </c>
      <c r="J18">
        <f t="shared" si="6"/>
        <v>9.7121112727111172E-2</v>
      </c>
    </row>
    <row r="19" spans="2:39" x14ac:dyDescent="0.25">
      <c r="B19">
        <v>82.38</v>
      </c>
      <c r="C19">
        <v>-0.28272047779759141</v>
      </c>
      <c r="D19">
        <f t="shared" si="0"/>
        <v>5.1291219050832448E-3</v>
      </c>
      <c r="E19">
        <f t="shared" si="1"/>
        <v>3.5838684516562733E-2</v>
      </c>
      <c r="F19">
        <f t="shared" si="2"/>
        <v>0.69885434807297331</v>
      </c>
      <c r="G19">
        <f t="shared" si="3"/>
        <v>2.5195207884213172E-2</v>
      </c>
      <c r="H19">
        <f t="shared" si="5"/>
        <v>2.4852613162205769E-2</v>
      </c>
      <c r="I19">
        <f t="shared" si="4"/>
        <v>-0.28784959970267465</v>
      </c>
      <c r="J19">
        <f t="shared" si="6"/>
        <v>0.13498869002044922</v>
      </c>
    </row>
    <row r="20" spans="2:39" x14ac:dyDescent="0.25">
      <c r="B20">
        <v>82.45</v>
      </c>
      <c r="C20">
        <v>-0.16673240345655096</v>
      </c>
      <c r="D20">
        <f t="shared" si="0"/>
        <v>0.11156738252478823</v>
      </c>
      <c r="E20">
        <f t="shared" si="1"/>
        <v>3.5171372791938368E-2</v>
      </c>
      <c r="F20">
        <f t="shared" si="2"/>
        <v>0.68584176944279818</v>
      </c>
      <c r="G20">
        <f t="shared" si="3"/>
        <v>0.54785033300566266</v>
      </c>
      <c r="H20">
        <f t="shared" si="5"/>
        <v>0.54260148311974488</v>
      </c>
      <c r="I20">
        <f t="shared" si="4"/>
        <v>-0.2782997859813392</v>
      </c>
      <c r="J20">
        <f t="shared" si="6"/>
        <v>0.65273755997798832</v>
      </c>
      <c r="M20" s="1" t="s">
        <v>43</v>
      </c>
      <c r="N20" s="16">
        <f>_xlfn.STDEV.S(H9:H28)</f>
        <v>0.64062696566072053</v>
      </c>
    </row>
    <row r="21" spans="2:39" x14ac:dyDescent="0.25">
      <c r="B21">
        <v>82.65</v>
      </c>
      <c r="C21">
        <v>-0.25370407956159935</v>
      </c>
      <c r="D21">
        <f t="shared" si="0"/>
        <v>-2.6894756412193521E-3</v>
      </c>
      <c r="E21">
        <f t="shared" si="1"/>
        <v>3.33891810136413E-2</v>
      </c>
      <c r="F21">
        <f t="shared" si="2"/>
        <v>0.65108902976600536</v>
      </c>
      <c r="G21">
        <f t="shared" si="3"/>
        <v>-1.3194458316708435E-2</v>
      </c>
      <c r="H21">
        <f t="shared" si="5"/>
        <v>-1.3014964131132293E-2</v>
      </c>
      <c r="I21">
        <f t="shared" si="4"/>
        <v>-0.25101460392038</v>
      </c>
      <c r="J21">
        <f t="shared" si="6"/>
        <v>9.7121112727111172E-2</v>
      </c>
      <c r="M21" s="1" t="s">
        <v>44</v>
      </c>
      <c r="N21" s="17">
        <f>_xlfn.STDEV.S(H28:H47)</f>
        <v>1.3673956589914953</v>
      </c>
    </row>
    <row r="22" spans="2:39" x14ac:dyDescent="0.25">
      <c r="B22">
        <v>82.65</v>
      </c>
      <c r="C22">
        <v>-0.42114935487576965</v>
      </c>
      <c r="D22">
        <f t="shared" si="0"/>
        <v>-0.17013475095538966</v>
      </c>
      <c r="E22">
        <f t="shared" si="1"/>
        <v>3.33891810136413E-2</v>
      </c>
      <c r="F22">
        <f t="shared" si="2"/>
        <v>0.65108902976600536</v>
      </c>
      <c r="G22">
        <f t="shared" si="3"/>
        <v>-0.83467418157641216</v>
      </c>
      <c r="H22">
        <f t="shared" si="5"/>
        <v>-0.83117996125251159</v>
      </c>
      <c r="I22">
        <f t="shared" si="4"/>
        <v>-0.25101460392038</v>
      </c>
      <c r="J22">
        <f t="shared" si="6"/>
        <v>0.72104388439426814</v>
      </c>
      <c r="N22" s="17"/>
    </row>
    <row r="23" spans="2:39" x14ac:dyDescent="0.25">
      <c r="B23">
        <v>82.65</v>
      </c>
      <c r="C23">
        <v>-0.2496595551520748</v>
      </c>
      <c r="D23">
        <f t="shared" si="0"/>
        <v>1.3550487683051948E-3</v>
      </c>
      <c r="E23">
        <f t="shared" si="1"/>
        <v>3.33891810136413E-2</v>
      </c>
      <c r="F23">
        <f t="shared" si="2"/>
        <v>0.65108902976600536</v>
      </c>
      <c r="G23">
        <f t="shared" si="3"/>
        <v>6.6478142491760853E-3</v>
      </c>
      <c r="H23">
        <f t="shared" si="5"/>
        <v>6.5573674982692814E-3</v>
      </c>
      <c r="I23">
        <f t="shared" si="4"/>
        <v>-0.25101460392038</v>
      </c>
      <c r="J23">
        <f t="shared" si="6"/>
        <v>0.11669344435651274</v>
      </c>
      <c r="N23" s="17"/>
    </row>
    <row r="24" spans="2:39" x14ac:dyDescent="0.25">
      <c r="B24">
        <v>82.75</v>
      </c>
      <c r="C24">
        <v>-0.17021578396780729</v>
      </c>
      <c r="D24">
        <f t="shared" si="0"/>
        <v>6.7156228922093997E-2</v>
      </c>
      <c r="E24">
        <f t="shared" si="1"/>
        <v>3.2567203540715559E-2</v>
      </c>
      <c r="F24">
        <f t="shared" si="2"/>
        <v>0.63506046904395341</v>
      </c>
      <c r="G24">
        <f t="shared" si="3"/>
        <v>0.32932573817250982</v>
      </c>
      <c r="H24">
        <f t="shared" si="5"/>
        <v>0.32532205358966465</v>
      </c>
      <c r="I24">
        <f t="shared" si="4"/>
        <v>-0.23737201288990128</v>
      </c>
      <c r="J24">
        <f t="shared" si="6"/>
        <v>0.4354581304479081</v>
      </c>
      <c r="M24" s="3" t="s">
        <v>8</v>
      </c>
      <c r="N24" s="17">
        <f>(B5+1-2)^2/(B5+1-1)*LN((N20^2+N21^2)/2/N20/N21)</f>
        <v>9.7564223916542581</v>
      </c>
    </row>
    <row r="25" spans="2:39" x14ac:dyDescent="0.25">
      <c r="B25">
        <v>82.77</v>
      </c>
      <c r="C25">
        <v>-0.35710662473370147</v>
      </c>
      <c r="D25">
        <f t="shared" si="0"/>
        <v>-0.12246313004989628</v>
      </c>
      <c r="E25">
        <f t="shared" si="1"/>
        <v>3.2408337519428253E-2</v>
      </c>
      <c r="F25">
        <f t="shared" si="2"/>
        <v>0.63196258162885088</v>
      </c>
      <c r="G25">
        <f t="shared" si="3"/>
        <v>-0.60049455368006377</v>
      </c>
      <c r="H25">
        <f t="shared" si="5"/>
        <v>-0.59523177835788255</v>
      </c>
      <c r="I25">
        <f t="shared" si="4"/>
        <v>-0.23464349468380519</v>
      </c>
      <c r="J25">
        <f t="shared" si="6"/>
        <v>0.4850957014996391</v>
      </c>
      <c r="M25" s="1" t="s">
        <v>9</v>
      </c>
      <c r="N25" s="17">
        <f>_xlfn.CHISQ.INV(0.95,1)</f>
        <v>3.8414588206941236</v>
      </c>
      <c r="O25" t="s">
        <v>10</v>
      </c>
    </row>
    <row r="26" spans="2:39" x14ac:dyDescent="0.25">
      <c r="B26">
        <v>82.77</v>
      </c>
      <c r="C26">
        <v>-0.29238578680202998</v>
      </c>
      <c r="D26">
        <f t="shared" si="0"/>
        <v>-5.7742292118224792E-2</v>
      </c>
      <c r="E26">
        <f t="shared" si="1"/>
        <v>3.2408337519428253E-2</v>
      </c>
      <c r="F26">
        <f t="shared" si="2"/>
        <v>0.63196258162885088</v>
      </c>
      <c r="G26">
        <f t="shared" si="3"/>
        <v>-0.28313772414497113</v>
      </c>
      <c r="H26">
        <f t="shared" si="5"/>
        <v>-0.27958838351218501</v>
      </c>
      <c r="I26">
        <f t="shared" si="4"/>
        <v>-0.23464349468380519</v>
      </c>
      <c r="J26">
        <f t="shared" si="6"/>
        <v>0.16945230665394156</v>
      </c>
      <c r="M26" s="1" t="s">
        <v>9</v>
      </c>
      <c r="N26" s="17">
        <f>_xlfn.CHISQ.INV(0.99,1)</f>
        <v>6.6348966010212118</v>
      </c>
      <c r="O26" t="s">
        <v>11</v>
      </c>
    </row>
    <row r="27" spans="2:39" x14ac:dyDescent="0.25">
      <c r="B27">
        <v>82.84</v>
      </c>
      <c r="C27">
        <v>-0.16064420359110226</v>
      </c>
      <c r="D27">
        <f t="shared" si="0"/>
        <v>6.4449477371365693E-2</v>
      </c>
      <c r="E27">
        <f t="shared" si="1"/>
        <v>3.1866821312329284E-2</v>
      </c>
      <c r="F27">
        <f t="shared" si="2"/>
        <v>0.62140301559042099</v>
      </c>
      <c r="G27">
        <f t="shared" si="3"/>
        <v>0.3159378250588179</v>
      </c>
      <c r="H27">
        <f t="shared" si="5"/>
        <v>0.3120603654752328</v>
      </c>
      <c r="I27">
        <f t="shared" si="4"/>
        <v>-0.22509368096246796</v>
      </c>
      <c r="J27">
        <f t="shared" si="6"/>
        <v>0.42219644233347625</v>
      </c>
    </row>
    <row r="28" spans="2:39" x14ac:dyDescent="0.25">
      <c r="B28">
        <v>83.07</v>
      </c>
      <c r="C28">
        <v>-0.24212089767848741</v>
      </c>
      <c r="D28">
        <f t="shared" si="0"/>
        <v>-4.8405176086120133E-2</v>
      </c>
      <c r="E28">
        <f t="shared" si="1"/>
        <v>3.0246526132030948E-2</v>
      </c>
      <c r="F28">
        <f t="shared" si="2"/>
        <v>0.58980725957460345</v>
      </c>
      <c r="G28">
        <f t="shared" si="3"/>
        <v>-0.2370887289911289</v>
      </c>
      <c r="H28">
        <f t="shared" si="5"/>
        <v>-0.23404072870074169</v>
      </c>
      <c r="I28">
        <f t="shared" si="4"/>
        <v>-0.19371572159236727</v>
      </c>
      <c r="J28">
        <f>ABS(H28-H$6)</f>
        <v>5.9548255680574036E-3</v>
      </c>
      <c r="K28" s="13"/>
      <c r="L28" s="11" t="s">
        <v>46</v>
      </c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</row>
    <row r="29" spans="2:39" x14ac:dyDescent="0.25">
      <c r="B29">
        <v>83.28</v>
      </c>
      <c r="C29">
        <v>-0.29523150221932415</v>
      </c>
      <c r="D29">
        <f t="shared" si="0"/>
        <v>-0.13016522179096501</v>
      </c>
      <c r="E29">
        <f t="shared" si="1"/>
        <v>2.8980010906767949E-2</v>
      </c>
      <c r="F29">
        <f t="shared" si="2"/>
        <v>0.56511021268197503</v>
      </c>
      <c r="G29">
        <f t="shared" si="3"/>
        <v>-0.63713381274015224</v>
      </c>
      <c r="H29">
        <f t="shared" si="5"/>
        <v>-0.63194110206105081</v>
      </c>
      <c r="I29">
        <f t="shared" si="4"/>
        <v>-0.16506628042835914</v>
      </c>
      <c r="J29">
        <f>ABS(H29-H$6)</f>
        <v>0.39194554779225171</v>
      </c>
      <c r="K29" s="13"/>
      <c r="L29" s="11" t="s">
        <v>47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2:39" x14ac:dyDescent="0.25">
      <c r="B30">
        <v>84.5</v>
      </c>
      <c r="C30">
        <v>0.12977350198120882</v>
      </c>
      <c r="D30">
        <f t="shared" si="0"/>
        <v>0.12840017183772021</v>
      </c>
      <c r="E30">
        <f t="shared" si="1"/>
        <v>2.5641626848551365E-2</v>
      </c>
      <c r="F30">
        <f t="shared" si="2"/>
        <v>0.50001172354675161</v>
      </c>
      <c r="G30">
        <f t="shared" si="3"/>
        <v>0.62741662215591998</v>
      </c>
      <c r="H30">
        <f t="shared" si="5"/>
        <v>0.622198652731484</v>
      </c>
      <c r="I30">
        <f t="shared" si="4"/>
        <v>1.3733301434886158E-3</v>
      </c>
      <c r="J30">
        <f t="shared" ref="J30:J47" si="7">ABS(H30-H$6)</f>
        <v>0.86219420700028304</v>
      </c>
      <c r="L30" s="11" t="s">
        <v>48</v>
      </c>
    </row>
    <row r="31" spans="2:39" x14ac:dyDescent="0.25">
      <c r="B31">
        <v>84.57</v>
      </c>
      <c r="C31">
        <v>8.5845932829939048E-2</v>
      </c>
      <c r="D31">
        <f t="shared" si="0"/>
        <v>7.4922788965116754E-2</v>
      </c>
      <c r="E31">
        <f t="shared" si="1"/>
        <v>2.5658126655090686E-2</v>
      </c>
      <c r="F31">
        <f t="shared" si="2"/>
        <v>0.5003334697742684</v>
      </c>
      <c r="G31">
        <f t="shared" si="3"/>
        <v>0.36610699598640534</v>
      </c>
      <c r="H31">
        <f t="shared" si="5"/>
        <v>0.361781596718247</v>
      </c>
      <c r="I31">
        <f t="shared" si="4"/>
        <v>1.0923143864822293E-2</v>
      </c>
      <c r="J31">
        <f t="shared" si="7"/>
        <v>0.60177715098704609</v>
      </c>
      <c r="L31" s="11" t="s">
        <v>73</v>
      </c>
    </row>
    <row r="32" spans="2:39" x14ac:dyDescent="0.25">
      <c r="B32">
        <v>85.08</v>
      </c>
      <c r="C32">
        <v>-0.27332329994638033</v>
      </c>
      <c r="D32">
        <f t="shared" si="0"/>
        <v>-0.35382365806664867</v>
      </c>
      <c r="E32">
        <f t="shared" si="1"/>
        <v>2.6459847115261947E-2</v>
      </c>
      <c r="F32">
        <f t="shared" si="2"/>
        <v>0.51596701874760798</v>
      </c>
      <c r="G32">
        <f t="shared" si="3"/>
        <v>-1.7296558903127539</v>
      </c>
      <c r="H32">
        <f t="shared" si="5"/>
        <v>-1.7795842756831408</v>
      </c>
      <c r="I32">
        <f t="shared" si="4"/>
        <v>8.0500358120268345E-2</v>
      </c>
      <c r="J32">
        <f t="shared" si="7"/>
        <v>1.5395887214143418</v>
      </c>
    </row>
    <row r="33" spans="2:16" x14ac:dyDescent="0.25">
      <c r="B33">
        <v>85.54</v>
      </c>
      <c r="C33">
        <v>0.67148939115987594</v>
      </c>
      <c r="D33">
        <f t="shared" si="0"/>
        <v>0.5282331142994009</v>
      </c>
      <c r="E33">
        <f t="shared" si="1"/>
        <v>2.8210988774271265E-2</v>
      </c>
      <c r="F33">
        <f t="shared" si="2"/>
        <v>0.55011428109828964</v>
      </c>
      <c r="G33">
        <f t="shared" si="3"/>
        <v>2.5845765958965199</v>
      </c>
      <c r="H33">
        <f t="shared" si="5"/>
        <v>2.8162831603245704</v>
      </c>
      <c r="I33">
        <f t="shared" si="4"/>
        <v>0.14325627686047504</v>
      </c>
      <c r="J33">
        <f t="shared" si="7"/>
        <v>3.0562787145933696</v>
      </c>
    </row>
    <row r="34" spans="2:16" x14ac:dyDescent="0.25">
      <c r="B34">
        <v>85.54</v>
      </c>
      <c r="C34">
        <v>0.6784706717205935</v>
      </c>
      <c r="D34">
        <f t="shared" si="0"/>
        <v>0.53521439486011846</v>
      </c>
      <c r="E34">
        <f t="shared" si="1"/>
        <v>2.8210988774271265E-2</v>
      </c>
      <c r="F34">
        <f t="shared" si="2"/>
        <v>0.55011428109828964</v>
      </c>
      <c r="G34">
        <f t="shared" si="3"/>
        <v>2.6187351025447625</v>
      </c>
      <c r="H34">
        <f t="shared" si="5"/>
        <v>2.8619046209129912</v>
      </c>
      <c r="I34">
        <f t="shared" si="4"/>
        <v>0.14325627686047504</v>
      </c>
      <c r="J34">
        <f t="shared" si="7"/>
        <v>3.1019001751817905</v>
      </c>
      <c r="L34" s="14" t="s">
        <v>52</v>
      </c>
    </row>
    <row r="35" spans="2:16" x14ac:dyDescent="0.25">
      <c r="B35">
        <v>85.63</v>
      </c>
      <c r="C35">
        <v>0.77812245463840868</v>
      </c>
      <c r="D35">
        <f t="shared" si="0"/>
        <v>0.62258784585050386</v>
      </c>
      <c r="E35">
        <f t="shared" si="1"/>
        <v>2.8667648833453584E-2</v>
      </c>
      <c r="F35">
        <f t="shared" si="2"/>
        <v>0.55901915225234489</v>
      </c>
      <c r="G35">
        <f t="shared" si="3"/>
        <v>3.0469581378643085</v>
      </c>
      <c r="H35">
        <f t="shared" si="5"/>
        <v>3.4725787260974283</v>
      </c>
      <c r="I35">
        <f t="shared" si="4"/>
        <v>0.15553460878790482</v>
      </c>
      <c r="J35">
        <f t="shared" si="7"/>
        <v>3.7125742803662276</v>
      </c>
      <c r="L35" s="1" t="s">
        <v>53</v>
      </c>
      <c r="M35" s="16">
        <f>((G4-1)*J5+(G7-1)*J6)/(B5-2)</f>
        <v>0.71505550036912158</v>
      </c>
      <c r="P35" s="11" t="s">
        <v>65</v>
      </c>
    </row>
    <row r="36" spans="2:16" x14ac:dyDescent="0.25">
      <c r="B36">
        <v>86.97</v>
      </c>
      <c r="C36">
        <v>0.28895768833848645</v>
      </c>
      <c r="D36">
        <f t="shared" si="0"/>
        <v>-4.9387640257842702E-2</v>
      </c>
      <c r="E36">
        <f t="shared" si="1"/>
        <v>3.9881633353480397E-2</v>
      </c>
      <c r="F36">
        <f t="shared" si="2"/>
        <v>0.7776918503928677</v>
      </c>
      <c r="G36">
        <f t="shared" si="3"/>
        <v>-0.243111589818648</v>
      </c>
      <c r="H36">
        <f t="shared" si="5"/>
        <v>-0.23999555426879909</v>
      </c>
      <c r="I36">
        <f t="shared" si="4"/>
        <v>0.33834532859632915</v>
      </c>
      <c r="J36">
        <f t="shared" si="7"/>
        <v>0</v>
      </c>
      <c r="L36" s="1" t="s">
        <v>54</v>
      </c>
      <c r="M36" s="17">
        <f>ABS(J3-J4)/SQRT(M35*(1/G4+1/G7))</f>
        <v>1.1962192387677375</v>
      </c>
      <c r="N36" s="16">
        <f>_xlfn.T.DIST.2T(M36,B5-2)</f>
        <v>0.23922059491007622</v>
      </c>
      <c r="O36" t="s">
        <v>72</v>
      </c>
      <c r="P36" s="11" t="s">
        <v>66</v>
      </c>
    </row>
    <row r="37" spans="2:16" x14ac:dyDescent="0.25">
      <c r="B37">
        <v>87.77</v>
      </c>
      <c r="C37">
        <v>0.3409281442703655</v>
      </c>
      <c r="D37">
        <f t="shared" si="0"/>
        <v>-0.10655791256979869</v>
      </c>
      <c r="E37">
        <f t="shared" si="1"/>
        <v>5.0520907103950519E-2</v>
      </c>
      <c r="F37">
        <f t="shared" si="2"/>
        <v>0.98515768852703511</v>
      </c>
      <c r="G37">
        <f t="shared" si="3"/>
        <v>-0.52746394337393243</v>
      </c>
      <c r="H37">
        <f t="shared" si="5"/>
        <v>-0.5222544568478662</v>
      </c>
      <c r="I37">
        <f t="shared" si="4"/>
        <v>0.44748605684016418</v>
      </c>
      <c r="J37">
        <f t="shared" si="7"/>
        <v>0.28225890257906711</v>
      </c>
      <c r="L37" t="s">
        <v>55</v>
      </c>
      <c r="M37" s="17">
        <f>_xlfn.T.INV.2T(0.05,B5-2)</f>
        <v>2.026192463029111</v>
      </c>
      <c r="N37" t="s">
        <v>10</v>
      </c>
      <c r="P37" s="11" t="s">
        <v>67</v>
      </c>
    </row>
    <row r="38" spans="2:16" x14ac:dyDescent="0.25">
      <c r="B38">
        <v>87.91</v>
      </c>
      <c r="C38">
        <v>0.3281561725057317</v>
      </c>
      <c r="D38">
        <f t="shared" si="0"/>
        <v>-0.13842951177710339</v>
      </c>
      <c r="E38">
        <f t="shared" si="1"/>
        <v>5.2685979462779871E-2</v>
      </c>
      <c r="F38">
        <f t="shared" si="2"/>
        <v>1.0273765995242075</v>
      </c>
      <c r="G38">
        <f t="shared" si="3"/>
        <v>-0.68601163383596175</v>
      </c>
      <c r="H38">
        <f t="shared" si="5"/>
        <v>-0.68102261326987656</v>
      </c>
      <c r="I38">
        <f t="shared" si="4"/>
        <v>0.46658568428283509</v>
      </c>
      <c r="J38">
        <f t="shared" si="7"/>
        <v>0.44102705900107747</v>
      </c>
      <c r="L38" t="s">
        <v>55</v>
      </c>
      <c r="M38" s="17">
        <f>_xlfn.T.INV.2T(0.01,B5-2)</f>
        <v>2.7154087215499887</v>
      </c>
      <c r="N38" t="s">
        <v>11</v>
      </c>
      <c r="P38" s="11" t="s">
        <v>68</v>
      </c>
    </row>
    <row r="39" spans="2:16" x14ac:dyDescent="0.25">
      <c r="B39">
        <v>88.05</v>
      </c>
      <c r="C39">
        <v>0.21045381495370452</v>
      </c>
      <c r="D39">
        <f t="shared" si="0"/>
        <v>-0.27523149677180148</v>
      </c>
      <c r="E39">
        <f t="shared" si="1"/>
        <v>5.4941366552140283E-2</v>
      </c>
      <c r="F39">
        <f t="shared" si="2"/>
        <v>1.0713566477667356</v>
      </c>
      <c r="G39">
        <f t="shared" si="3"/>
        <v>-1.3655843504166181</v>
      </c>
      <c r="H39">
        <f t="shared" si="5"/>
        <v>-1.3822884968867475</v>
      </c>
      <c r="I39">
        <f t="shared" si="4"/>
        <v>0.485685311725506</v>
      </c>
      <c r="J39">
        <f t="shared" si="7"/>
        <v>1.1422929426179484</v>
      </c>
    </row>
    <row r="40" spans="2:16" x14ac:dyDescent="0.25">
      <c r="B40">
        <v>88.44</v>
      </c>
      <c r="C40">
        <v>0.43064197905599899</v>
      </c>
      <c r="D40">
        <f t="shared" si="0"/>
        <v>-0.10824943768837647</v>
      </c>
      <c r="E40">
        <f t="shared" si="1"/>
        <v>6.1700456474561773E-2</v>
      </c>
      <c r="F40">
        <f t="shared" si="2"/>
        <v>1.2031589012539545</v>
      </c>
      <c r="G40">
        <f t="shared" si="3"/>
        <v>-0.5390197430326692</v>
      </c>
      <c r="H40">
        <f t="shared" si="5"/>
        <v>-0.53378570441007189</v>
      </c>
      <c r="I40">
        <f t="shared" si="4"/>
        <v>0.53889141674437546</v>
      </c>
      <c r="J40">
        <f t="shared" si="7"/>
        <v>0.2937901501412728</v>
      </c>
    </row>
    <row r="41" spans="2:16" x14ac:dyDescent="0.25">
      <c r="B41">
        <v>88.97</v>
      </c>
      <c r="C41">
        <v>0.52099006921458313</v>
      </c>
      <c r="D41">
        <f t="shared" si="0"/>
        <v>-9.0207079991332706E-2</v>
      </c>
      <c r="E41">
        <f t="shared" si="1"/>
        <v>7.2009291027474803E-2</v>
      </c>
      <c r="F41">
        <f t="shared" si="2"/>
        <v>1.4041811750357587</v>
      </c>
      <c r="G41">
        <f t="shared" si="3"/>
        <v>-0.45166723504373851</v>
      </c>
      <c r="H41">
        <f t="shared" si="5"/>
        <v>-0.44675513369977621</v>
      </c>
      <c r="I41">
        <f t="shared" si="4"/>
        <v>0.61119714920591584</v>
      </c>
      <c r="J41">
        <f t="shared" si="7"/>
        <v>0.20675957943097711</v>
      </c>
    </row>
    <row r="42" spans="2:16" x14ac:dyDescent="0.25">
      <c r="B42">
        <v>89.08</v>
      </c>
      <c r="C42">
        <v>0.54365647814155393</v>
      </c>
      <c r="D42">
        <f t="shared" si="0"/>
        <v>-8.2547521197889551E-2</v>
      </c>
      <c r="E42">
        <f t="shared" si="1"/>
        <v>7.4311058346387709E-2</v>
      </c>
      <c r="F42">
        <f t="shared" si="2"/>
        <v>1.4490656377545603</v>
      </c>
      <c r="G42">
        <f t="shared" si="3"/>
        <v>-0.41382933657119203</v>
      </c>
      <c r="H42">
        <f t="shared" si="5"/>
        <v>-0.40914671027703381</v>
      </c>
      <c r="I42">
        <f t="shared" si="4"/>
        <v>0.62620399933944348</v>
      </c>
      <c r="J42">
        <f t="shared" si="7"/>
        <v>0.16915115600823472</v>
      </c>
    </row>
    <row r="43" spans="2:16" x14ac:dyDescent="0.25">
      <c r="B43">
        <v>89.27</v>
      </c>
      <c r="C43">
        <v>0.56518658070760353</v>
      </c>
      <c r="D43">
        <f t="shared" si="0"/>
        <v>-8.6938341589750223E-2</v>
      </c>
      <c r="E43">
        <f t="shared" si="1"/>
        <v>7.8418163251696871E-2</v>
      </c>
      <c r="F43">
        <f t="shared" si="2"/>
        <v>1.5291541834080891</v>
      </c>
      <c r="G43">
        <f t="shared" si="3"/>
        <v>-0.436811611288141</v>
      </c>
      <c r="H43">
        <f t="shared" si="5"/>
        <v>-0.43198360170471439</v>
      </c>
      <c r="I43">
        <f t="shared" si="4"/>
        <v>0.65212492229735375</v>
      </c>
      <c r="J43">
        <f t="shared" si="7"/>
        <v>0.1919880474359153</v>
      </c>
    </row>
    <row r="44" spans="2:16" x14ac:dyDescent="0.25">
      <c r="B44">
        <v>89.34</v>
      </c>
      <c r="C44">
        <v>0.6508005192557319</v>
      </c>
      <c r="D44">
        <f t="shared" si="0"/>
        <v>-1.0874216762959077E-2</v>
      </c>
      <c r="E44">
        <f t="shared" si="1"/>
        <v>7.9973239003354471E-2</v>
      </c>
      <c r="F44">
        <f t="shared" si="2"/>
        <v>1.5594781605654122</v>
      </c>
      <c r="G44">
        <f t="shared" si="3"/>
        <v>-5.4682395541592065E-2</v>
      </c>
      <c r="H44">
        <f t="shared" si="5"/>
        <v>-5.3940562356962887E-2</v>
      </c>
      <c r="I44">
        <f t="shared" si="4"/>
        <v>0.66167473601869098</v>
      </c>
      <c r="J44">
        <f t="shared" si="7"/>
        <v>0.18605499191183622</v>
      </c>
    </row>
    <row r="45" spans="2:16" x14ac:dyDescent="0.25">
      <c r="B45">
        <v>89.82</v>
      </c>
      <c r="C45">
        <v>0.78296273097400559</v>
      </c>
      <c r="D45">
        <f t="shared" si="0"/>
        <v>5.5803558009015375E-2</v>
      </c>
      <c r="E45">
        <f t="shared" si="1"/>
        <v>9.1244857648908329E-2</v>
      </c>
      <c r="F45">
        <f t="shared" si="2"/>
        <v>1.7792747241537124</v>
      </c>
      <c r="G45">
        <f t="shared" si="3"/>
        <v>0.28235028190043937</v>
      </c>
      <c r="H45">
        <f t="shared" si="5"/>
        <v>0.27880913108840388</v>
      </c>
      <c r="I45">
        <f t="shared" si="4"/>
        <v>0.72715917296499022</v>
      </c>
      <c r="J45">
        <f t="shared" si="7"/>
        <v>0.51880468535720303</v>
      </c>
    </row>
    <row r="46" spans="2:16" x14ac:dyDescent="0.25">
      <c r="B46">
        <v>90.38</v>
      </c>
      <c r="C46">
        <v>0.79835089006516957</v>
      </c>
      <c r="D46">
        <f t="shared" si="0"/>
        <v>-5.2067926705060552E-3</v>
      </c>
      <c r="E46">
        <f t="shared" si="1"/>
        <v>0.10573689825565888</v>
      </c>
      <c r="F46">
        <f t="shared" si="2"/>
        <v>2.061869515985348</v>
      </c>
      <c r="G46">
        <f t="shared" si="3"/>
        <v>-2.6557513146875045E-2</v>
      </c>
      <c r="H46">
        <f t="shared" si="5"/>
        <v>-2.6196419282088528E-2</v>
      </c>
      <c r="I46">
        <f t="shared" si="4"/>
        <v>0.80355768273567563</v>
      </c>
      <c r="J46">
        <f t="shared" si="7"/>
        <v>0.21379913498671058</v>
      </c>
    </row>
    <row r="47" spans="2:16" x14ac:dyDescent="0.25">
      <c r="B47">
        <v>90.86</v>
      </c>
      <c r="C47">
        <v>0.8479512128271971</v>
      </c>
      <c r="D47">
        <f t="shared" si="0"/>
        <v>-2.1090906854779545E-2</v>
      </c>
      <c r="E47">
        <f t="shared" si="1"/>
        <v>0.11930877779310575</v>
      </c>
      <c r="F47">
        <f t="shared" si="2"/>
        <v>2.3265211669655623</v>
      </c>
      <c r="G47">
        <f t="shared" si="3"/>
        <v>-0.10840097687438578</v>
      </c>
      <c r="H47">
        <f t="shared" si="5"/>
        <v>-0.10694304821210696</v>
      </c>
      <c r="I47">
        <f t="shared" si="4"/>
        <v>0.86904211968197664</v>
      </c>
      <c r="J47">
        <f t="shared" si="7"/>
        <v>0.13305250605669214</v>
      </c>
    </row>
    <row r="59" spans="4:48" x14ac:dyDescent="0.25">
      <c r="D59" s="13"/>
    </row>
    <row r="60" spans="4:48" x14ac:dyDescent="0.25">
      <c r="D60" s="13"/>
    </row>
    <row r="61" spans="4:48" x14ac:dyDescent="0.25">
      <c r="D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</row>
    <row r="62" spans="4:48" x14ac:dyDescent="0.25">
      <c r="D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</row>
    <row r="63" spans="4:48" x14ac:dyDescent="0.25">
      <c r="D63" s="13"/>
    </row>
    <row r="64" spans="4:48" x14ac:dyDescent="0.25">
      <c r="D64" s="13"/>
    </row>
    <row r="65" spans="4:4" x14ac:dyDescent="0.25">
      <c r="D65" s="13"/>
    </row>
    <row r="66" spans="4:4" x14ac:dyDescent="0.25">
      <c r="D66" s="13"/>
    </row>
    <row r="67" spans="4:4" x14ac:dyDescent="0.25">
      <c r="D67" s="13"/>
    </row>
    <row r="68" spans="4:4" x14ac:dyDescent="0.25">
      <c r="D68" s="13"/>
    </row>
    <row r="69" spans="4:4" x14ac:dyDescent="0.25">
      <c r="D69" s="13"/>
    </row>
    <row r="70" spans="4:4" x14ac:dyDescent="0.25">
      <c r="D70" s="13"/>
    </row>
    <row r="71" spans="4:4" x14ac:dyDescent="0.25">
      <c r="D71" s="13"/>
    </row>
    <row r="72" spans="4:4" x14ac:dyDescent="0.25">
      <c r="D72" s="13"/>
    </row>
    <row r="73" spans="4:4" x14ac:dyDescent="0.25">
      <c r="D73" s="13"/>
    </row>
    <row r="74" spans="4:4" x14ac:dyDescent="0.25">
      <c r="D74" s="13"/>
    </row>
    <row r="75" spans="4:4" x14ac:dyDescent="0.25">
      <c r="D75" s="13"/>
    </row>
    <row r="76" spans="4:4" x14ac:dyDescent="0.25">
      <c r="D76" s="13"/>
    </row>
    <row r="77" spans="4:4" x14ac:dyDescent="0.25">
      <c r="D77" s="13"/>
    </row>
    <row r="78" spans="4:4" x14ac:dyDescent="0.25">
      <c r="D78" s="13"/>
    </row>
    <row r="79" spans="4:4" x14ac:dyDescent="0.25">
      <c r="D79" s="13"/>
    </row>
    <row r="80" spans="4:4" x14ac:dyDescent="0.25">
      <c r="D80" s="13"/>
    </row>
    <row r="81" spans="4:12" x14ac:dyDescent="0.25">
      <c r="D81" s="13"/>
    </row>
    <row r="82" spans="4:12" x14ac:dyDescent="0.25">
      <c r="D82" s="13"/>
    </row>
    <row r="83" spans="4:12" x14ac:dyDescent="0.25">
      <c r="D83" s="13"/>
    </row>
    <row r="84" spans="4:12" x14ac:dyDescent="0.25">
      <c r="D84" s="13"/>
    </row>
    <row r="85" spans="4:12" x14ac:dyDescent="0.25">
      <c r="D85" s="13"/>
    </row>
    <row r="86" spans="4:12" x14ac:dyDescent="0.25">
      <c r="D86" s="13"/>
    </row>
    <row r="87" spans="4:12" x14ac:dyDescent="0.25">
      <c r="D87" s="13"/>
    </row>
    <row r="88" spans="4:12" x14ac:dyDescent="0.25">
      <c r="D88" s="13"/>
    </row>
    <row r="89" spans="4:12" x14ac:dyDescent="0.25">
      <c r="D89" s="13"/>
    </row>
    <row r="90" spans="4:12" x14ac:dyDescent="0.25">
      <c r="D90" s="13"/>
    </row>
    <row r="91" spans="4:12" x14ac:dyDescent="0.25">
      <c r="D91" s="13"/>
    </row>
    <row r="92" spans="4:12" x14ac:dyDescent="0.25">
      <c r="D92" s="13"/>
    </row>
    <row r="93" spans="4:12" x14ac:dyDescent="0.25">
      <c r="D93" s="13"/>
    </row>
    <row r="94" spans="4:12" x14ac:dyDescent="0.25">
      <c r="D94" s="13"/>
    </row>
    <row r="95" spans="4:12" x14ac:dyDescent="0.25">
      <c r="D95" s="13"/>
    </row>
    <row r="96" spans="4:12" x14ac:dyDescent="0.25">
      <c r="K96" s="13"/>
      <c r="L96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Monte Carlo Data</vt:lpstr>
      <vt:lpstr>Flow Meters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2014-09-25T20:28:47Z</dcterms:created>
  <dcterms:modified xsi:type="dcterms:W3CDTF">2016-09-22T20:09:59Z</dcterms:modified>
</cp:coreProperties>
</file>